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SIM\Siti Web\www.Madosoft.it\Sito Joomla 03-04-2022\SIM_Download\Superbonus110\"/>
    </mc:Choice>
  </mc:AlternateContent>
  <xr:revisionPtr revIDLastSave="0" documentId="8_{04689A59-85A9-4BA9-A327-6CF06D9EC96A}" xr6:coauthVersionLast="47" xr6:coauthVersionMax="47" xr10:uidLastSave="{00000000-0000-0000-0000-000000000000}"/>
  <bookViews>
    <workbookView xWindow="-120" yWindow="-120" windowWidth="29040" windowHeight="16440" xr2:uid="{A442F488-0F13-4F97-BFB7-255196052D2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1" l="1"/>
  <c r="E10" i="1"/>
  <c r="C40" i="1"/>
  <c r="G41" i="1"/>
  <c r="G40" i="1"/>
  <c r="E20" i="1"/>
  <c r="C10" i="1"/>
  <c r="E15" i="1" s="1"/>
  <c r="E38" i="1"/>
  <c r="D40" i="1"/>
  <c r="D39" i="1"/>
  <c r="D38" i="1"/>
  <c r="C6" i="1" l="1"/>
  <c r="E6" i="1" s="1"/>
  <c r="C65" i="1" l="1"/>
  <c r="C39" i="1"/>
  <c r="C41" i="1" s="1"/>
  <c r="C7" i="1"/>
  <c r="C8" i="1" l="1"/>
  <c r="E8" i="1" s="1"/>
  <c r="E7" i="1"/>
  <c r="E9" i="1" l="1"/>
  <c r="E13" i="1" s="1"/>
  <c r="E16" i="1" s="1"/>
  <c r="E17" i="1" s="1"/>
  <c r="E18" i="1" s="1"/>
  <c r="E14" i="1"/>
  <c r="E19" i="1"/>
  <c r="C66" i="1"/>
  <c r="E39" i="1" l="1"/>
  <c r="E41" i="1" s="1"/>
  <c r="I40" i="1" s="1"/>
  <c r="L40" i="1" s="1"/>
  <c r="H40" i="1" l="1"/>
  <c r="I41" i="1"/>
  <c r="J40" i="1"/>
  <c r="C67" i="1"/>
  <c r="E21" i="1"/>
  <c r="L41" i="1" l="1"/>
  <c r="H41" i="1"/>
  <c r="J41" i="1"/>
  <c r="E35" i="1"/>
  <c r="E44" i="1"/>
  <c r="C46" i="1" l="1"/>
  <c r="C64" i="1" s="1"/>
  <c r="C68" i="1" s="1"/>
  <c r="C72" i="1" s="1"/>
  <c r="C74" i="1" s="1"/>
</calcChain>
</file>

<file path=xl/sharedStrings.xml><?xml version="1.0" encoding="utf-8"?>
<sst xmlns="http://schemas.openxmlformats.org/spreadsheetml/2006/main" count="45" uniqueCount="43">
  <si>
    <t>Computo Metrico</t>
  </si>
  <si>
    <t>Rimozione infissi esistenti</t>
  </si>
  <si>
    <t>Descrizione</t>
  </si>
  <si>
    <t>Quantità</t>
  </si>
  <si>
    <t>Prezzo Un.</t>
  </si>
  <si>
    <t>Prezzo</t>
  </si>
  <si>
    <t>Trasporto a discarica</t>
  </si>
  <si>
    <t>Oneri conferimento</t>
  </si>
  <si>
    <t xml:space="preserve">Sostituzione di chiusure trasparenti, comprensive di infissi  </t>
  </si>
  <si>
    <t>Fornitura e collocazione nuovi infissi con persiane</t>
  </si>
  <si>
    <t>Totale</t>
  </si>
  <si>
    <t>CONTROLLO 1 - Opera Compiuta / Prezzario</t>
  </si>
  <si>
    <t xml:space="preserve">Occorre verificare che i prezzi Unitari siano inferiori o uguali ai prezzi del Prezzario. </t>
  </si>
  <si>
    <t>CONTROLLO 2 - DM. Costi Massimi</t>
  </si>
  <si>
    <t>in zona D</t>
  </si>
  <si>
    <t>Costo dei Beni Allegato A (fonitura)</t>
  </si>
  <si>
    <t xml:space="preserve">Opere relative alla installazione </t>
  </si>
  <si>
    <t>Manodopera per l'installazione (Ad es. 5%)</t>
  </si>
  <si>
    <t>MIN(controllo1; controllo2; fattura)</t>
  </si>
  <si>
    <t>Spesa di Intervento</t>
  </si>
  <si>
    <t>Spesa massima ammissibile asseverata</t>
  </si>
  <si>
    <t>Prestazioni Professionali</t>
  </si>
  <si>
    <t>CONTROLLO 3 - Spesa sostenuta</t>
  </si>
  <si>
    <t>Altri Costi</t>
  </si>
  <si>
    <t>IVA</t>
  </si>
  <si>
    <t>TOTALE</t>
  </si>
  <si>
    <t>Opere relative all'installazione (sicurezza) x rimozione e trasporto discarica</t>
  </si>
  <si>
    <t>Opere relative all'installazione (sicurezza) x collocazione infissi</t>
  </si>
  <si>
    <t>Spese Tecniche x rimozione e trasporto a discarica</t>
  </si>
  <si>
    <t>Quota Eccedente (a Carico del Cliente)</t>
  </si>
  <si>
    <t>Spese Tecniche x collocazione infissi</t>
  </si>
  <si>
    <t>Sommano</t>
  </si>
  <si>
    <t>Tot.Lavori</t>
  </si>
  <si>
    <t>IVA 10%</t>
  </si>
  <si>
    <t>fatture</t>
  </si>
  <si>
    <r>
      <rPr>
        <b/>
        <sz val="11"/>
        <color theme="1"/>
        <rFont val="Calibri"/>
        <family val="2"/>
        <scheme val="minor"/>
      </rPr>
      <t>Spesa Massima ammissibile per intervento</t>
    </r>
    <r>
      <rPr>
        <sz val="11"/>
        <color theme="1"/>
        <rFont val="Calibri"/>
        <family val="2"/>
        <scheme val="minor"/>
      </rPr>
      <t xml:space="preserve"> - norma primaria</t>
    </r>
  </si>
  <si>
    <t>Prezzo pagato fornitura e posa</t>
  </si>
  <si>
    <t>DM.</t>
  </si>
  <si>
    <t xml:space="preserve">non ammessi </t>
  </si>
  <si>
    <t>Differenza</t>
  </si>
  <si>
    <t>Costi conseguenziali</t>
  </si>
  <si>
    <t>Costi Fornitura e Posa</t>
  </si>
  <si>
    <t>Spesa detraibile ammissibile = MIN(Si;Sm)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</si>
</sst>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mq.&quot;"/>
    <numFmt numFmtId="165" formatCode="#,##0.00\ &quot;ton.&quot;"/>
    <numFmt numFmtId="166" formatCode="#,##0.00\ &quot;€./mq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4" fontId="0" fillId="0" borderId="0" xfId="1" applyFont="1"/>
    <xf numFmtId="164" fontId="0" fillId="0" borderId="0" xfId="0" applyNumberFormat="1" applyAlignment="1">
      <alignment horizontal="left"/>
    </xf>
    <xf numFmtId="0" fontId="2" fillId="0" borderId="0" xfId="0" applyFont="1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16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0" fillId="0" borderId="0" xfId="0" applyFill="1" applyBorder="1"/>
    <xf numFmtId="0" fontId="0" fillId="0" borderId="1" xfId="0" applyFill="1" applyBorder="1"/>
    <xf numFmtId="44" fontId="0" fillId="0" borderId="0" xfId="0" applyNumberFormat="1"/>
    <xf numFmtId="164" fontId="0" fillId="0" borderId="0" xfId="0" applyNumberFormat="1" applyBorder="1" applyAlignment="1">
      <alignment horizontal="right"/>
    </xf>
    <xf numFmtId="44" fontId="0" fillId="0" borderId="0" xfId="1" applyFont="1" applyBorder="1"/>
    <xf numFmtId="44" fontId="4" fillId="0" borderId="0" xfId="0" applyNumberFormat="1" applyFont="1" applyAlignment="1">
      <alignment wrapText="1"/>
    </xf>
    <xf numFmtId="0" fontId="3" fillId="0" borderId="0" xfId="0" applyFont="1" applyAlignment="1">
      <alignment horizontal="left"/>
    </xf>
    <xf numFmtId="0" fontId="2" fillId="0" borderId="2" xfId="0" applyFont="1" applyBorder="1"/>
    <xf numFmtId="44" fontId="4" fillId="0" borderId="3" xfId="0" applyNumberFormat="1" applyFont="1" applyBorder="1" applyAlignment="1">
      <alignment wrapText="1"/>
    </xf>
    <xf numFmtId="0" fontId="3" fillId="0" borderId="5" xfId="0" applyFont="1" applyBorder="1" applyAlignment="1">
      <alignment horizontal="left"/>
    </xf>
    <xf numFmtId="44" fontId="4" fillId="0" borderId="6" xfId="0" applyNumberFormat="1" applyFont="1" applyBorder="1" applyAlignment="1">
      <alignment wrapText="1"/>
    </xf>
    <xf numFmtId="44" fontId="0" fillId="0" borderId="6" xfId="1" applyFont="1" applyBorder="1"/>
    <xf numFmtId="0" fontId="0" fillId="0" borderId="3" xfId="0" applyBorder="1"/>
    <xf numFmtId="0" fontId="0" fillId="0" borderId="4" xfId="0" applyBorder="1"/>
    <xf numFmtId="44" fontId="0" fillId="2" borderId="1" xfId="1" applyFont="1" applyFill="1" applyBorder="1" applyAlignment="1">
      <alignment wrapText="1"/>
    </xf>
    <xf numFmtId="0" fontId="0" fillId="0" borderId="9" xfId="0" applyFont="1" applyBorder="1" applyAlignment="1">
      <alignment horizontal="right"/>
    </xf>
    <xf numFmtId="166" fontId="0" fillId="0" borderId="0" xfId="0" applyNumberFormat="1" applyBorder="1"/>
    <xf numFmtId="0" fontId="0" fillId="0" borderId="0" xfId="0" applyBorder="1" applyAlignment="1">
      <alignment horizontal="center"/>
    </xf>
    <xf numFmtId="44" fontId="0" fillId="0" borderId="10" xfId="1" applyFont="1" applyBorder="1"/>
    <xf numFmtId="0" fontId="0" fillId="0" borderId="9" xfId="0" applyBorder="1" applyAlignment="1">
      <alignment horizontal="right"/>
    </xf>
    <xf numFmtId="44" fontId="0" fillId="0" borderId="7" xfId="1" applyFont="1" applyBorder="1"/>
    <xf numFmtId="0" fontId="0" fillId="0" borderId="5" xfId="0" applyBorder="1"/>
    <xf numFmtId="0" fontId="0" fillId="0" borderId="6" xfId="0" applyBorder="1"/>
    <xf numFmtId="44" fontId="0" fillId="0" borderId="6" xfId="0" applyNumberFormat="1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44" fontId="0" fillId="0" borderId="0" xfId="1" applyFont="1" applyBorder="1" applyAlignment="1">
      <alignment horizontal="right"/>
    </xf>
    <xf numFmtId="44" fontId="0" fillId="0" borderId="6" xfId="1" applyFont="1" applyBorder="1" applyAlignment="1">
      <alignment horizontal="right"/>
    </xf>
    <xf numFmtId="166" fontId="0" fillId="0" borderId="6" xfId="0" applyNumberFormat="1" applyBorder="1"/>
    <xf numFmtId="0" fontId="0" fillId="0" borderId="1" xfId="0" applyBorder="1" applyAlignment="1">
      <alignment horizontal="center"/>
    </xf>
    <xf numFmtId="166" fontId="0" fillId="0" borderId="1" xfId="0" applyNumberFormat="1" applyBorder="1"/>
    <xf numFmtId="44" fontId="0" fillId="0" borderId="1" xfId="0" applyNumberFormat="1" applyBorder="1"/>
    <xf numFmtId="44" fontId="0" fillId="0" borderId="0" xfId="0" applyNumberFormat="1" applyBorder="1"/>
    <xf numFmtId="0" fontId="0" fillId="0" borderId="0" xfId="0" applyBorder="1"/>
    <xf numFmtId="165" fontId="0" fillId="0" borderId="0" xfId="0" applyNumberFormat="1" applyBorder="1" applyAlignment="1">
      <alignment horizontal="right"/>
    </xf>
    <xf numFmtId="9" fontId="0" fillId="0" borderId="1" xfId="1" applyNumberFormat="1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23</xdr:row>
      <xdr:rowOff>114300</xdr:rowOff>
    </xdr:from>
    <xdr:to>
      <xdr:col>5</xdr:col>
      <xdr:colOff>38402</xdr:colOff>
      <xdr:row>32</xdr:row>
      <xdr:rowOff>38100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1E4C881-F0B0-AD90-2B98-F257A583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4495800"/>
          <a:ext cx="6620176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180976</xdr:colOff>
      <xdr:row>46</xdr:row>
      <xdr:rowOff>123825</xdr:rowOff>
    </xdr:from>
    <xdr:to>
      <xdr:col>5</xdr:col>
      <xdr:colOff>57151</xdr:colOff>
      <xdr:row>60</xdr:row>
      <xdr:rowOff>95036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5A850C2B-5882-642A-C5D6-ED509E58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8772525"/>
          <a:ext cx="6610350" cy="2638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108875</xdr:colOff>
      <xdr:row>0</xdr:row>
      <xdr:rowOff>38100</xdr:rowOff>
    </xdr:from>
    <xdr:to>
      <xdr:col>23</xdr:col>
      <xdr:colOff>78171</xdr:colOff>
      <xdr:row>36</xdr:row>
      <xdr:rowOff>57150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72ED50F-DCE7-56E6-87F9-A0B5B30FC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9875" y="38100"/>
          <a:ext cx="10456321" cy="6762750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A85C0-2FA2-4C5E-A963-4B3FFBD26184}">
  <sheetPr codeName="Foglio1"/>
  <dimension ref="B2:L74"/>
  <sheetViews>
    <sheetView showGridLines="0" tabSelected="1" topLeftCell="A2" workbookViewId="0">
      <selection activeCell="E41" sqref="E41"/>
    </sheetView>
  </sheetViews>
  <sheetFormatPr defaultRowHeight="15" x14ac:dyDescent="0.25"/>
  <cols>
    <col min="1" max="1" width="3.140625" customWidth="1"/>
    <col min="2" max="2" width="54.85546875" customWidth="1"/>
    <col min="3" max="3" width="14.5703125" bestFit="1" customWidth="1"/>
    <col min="4" max="4" width="12.85546875" customWidth="1"/>
    <col min="5" max="5" width="15.5703125" bestFit="1" customWidth="1"/>
    <col min="6" max="6" width="3.28515625" customWidth="1"/>
    <col min="7" max="7" width="15.7109375" customWidth="1"/>
    <col min="8" max="8" width="5.7109375" customWidth="1"/>
    <col min="9" max="9" width="14.5703125" bestFit="1" customWidth="1"/>
    <col min="10" max="10" width="14.7109375" customWidth="1"/>
    <col min="12" max="12" width="12.5703125" customWidth="1"/>
  </cols>
  <sheetData>
    <row r="2" spans="2:7" x14ac:dyDescent="0.25">
      <c r="B2" t="s">
        <v>8</v>
      </c>
      <c r="C2" s="4">
        <v>25</v>
      </c>
      <c r="D2" t="s">
        <v>14</v>
      </c>
    </row>
    <row r="3" spans="2:7" x14ac:dyDescent="0.25">
      <c r="C3" s="4"/>
    </row>
    <row r="4" spans="2:7" x14ac:dyDescent="0.25">
      <c r="B4" s="5" t="s">
        <v>0</v>
      </c>
    </row>
    <row r="5" spans="2:7" x14ac:dyDescent="0.25">
      <c r="B5" s="8" t="s">
        <v>2</v>
      </c>
      <c r="C5" s="10" t="s">
        <v>3</v>
      </c>
      <c r="D5" s="10" t="s">
        <v>4</v>
      </c>
      <c r="E5" s="10" t="s">
        <v>5</v>
      </c>
    </row>
    <row r="6" spans="2:7" ht="15" customHeight="1" x14ac:dyDescent="0.25">
      <c r="B6" s="6" t="s">
        <v>1</v>
      </c>
      <c r="C6" s="9">
        <f>$C$2</f>
        <v>25</v>
      </c>
      <c r="D6" s="7">
        <v>42</v>
      </c>
      <c r="E6" s="7">
        <f>D6*C6</f>
        <v>1050</v>
      </c>
      <c r="F6" s="50"/>
      <c r="G6" s="53" t="s">
        <v>40</v>
      </c>
    </row>
    <row r="7" spans="2:7" x14ac:dyDescent="0.25">
      <c r="B7" s="6" t="s">
        <v>6</v>
      </c>
      <c r="C7" s="11">
        <f>C6*0.1*1.1</f>
        <v>2.75</v>
      </c>
      <c r="D7" s="7">
        <v>15</v>
      </c>
      <c r="E7" s="7">
        <f>D7*C7</f>
        <v>41.25</v>
      </c>
      <c r="F7" s="51"/>
      <c r="G7" s="53"/>
    </row>
    <row r="8" spans="2:7" x14ac:dyDescent="0.25">
      <c r="B8" s="13" t="s">
        <v>7</v>
      </c>
      <c r="C8" s="11">
        <f>C7</f>
        <v>2.75</v>
      </c>
      <c r="D8" s="7">
        <v>15</v>
      </c>
      <c r="E8" s="7">
        <f>D8*C8</f>
        <v>41.25</v>
      </c>
      <c r="F8" s="52"/>
      <c r="G8" s="53"/>
    </row>
    <row r="9" spans="2:7" x14ac:dyDescent="0.25">
      <c r="B9" s="12"/>
      <c r="C9" s="46"/>
      <c r="D9" s="38" t="s">
        <v>31</v>
      </c>
      <c r="E9" s="16">
        <f>SUM(E6:E8)</f>
        <v>1132.5</v>
      </c>
    </row>
    <row r="10" spans="2:7" x14ac:dyDescent="0.25">
      <c r="B10" s="13" t="s">
        <v>9</v>
      </c>
      <c r="C10" s="9">
        <f>$C$2</f>
        <v>25</v>
      </c>
      <c r="D10" s="7">
        <v>900</v>
      </c>
      <c r="E10" s="7">
        <f>D10*C10</f>
        <v>22500</v>
      </c>
      <c r="F10" s="50"/>
      <c r="G10" s="53" t="s">
        <v>41</v>
      </c>
    </row>
    <row r="11" spans="2:7" x14ac:dyDescent="0.25">
      <c r="B11" s="13"/>
      <c r="C11" s="9"/>
      <c r="D11" s="7"/>
      <c r="E11" s="7"/>
      <c r="F11" s="51"/>
      <c r="G11" s="53"/>
    </row>
    <row r="12" spans="2:7" x14ac:dyDescent="0.25">
      <c r="B12" s="13"/>
      <c r="C12" s="9"/>
      <c r="D12" s="7"/>
      <c r="E12" s="7"/>
      <c r="F12" s="52"/>
      <c r="G12" s="53"/>
    </row>
    <row r="13" spans="2:7" x14ac:dyDescent="0.25">
      <c r="B13" s="12"/>
      <c r="C13" s="15"/>
      <c r="D13" s="38" t="s">
        <v>31</v>
      </c>
      <c r="E13" s="16">
        <f>SUM(E9:E12)</f>
        <v>23632.5</v>
      </c>
    </row>
    <row r="14" spans="2:7" x14ac:dyDescent="0.25">
      <c r="B14" s="48" t="s">
        <v>26</v>
      </c>
      <c r="C14" s="49"/>
      <c r="D14" s="47">
        <v>0.03</v>
      </c>
      <c r="E14" s="7">
        <f>D14*SUM(E6:E8)</f>
        <v>33.975000000000001</v>
      </c>
    </row>
    <row r="15" spans="2:7" x14ac:dyDescent="0.25">
      <c r="B15" s="48" t="s">
        <v>27</v>
      </c>
      <c r="C15" s="49"/>
      <c r="D15" s="47">
        <v>0.03</v>
      </c>
      <c r="E15" s="7">
        <f>D15*SUM(E10:E12)</f>
        <v>675</v>
      </c>
    </row>
    <row r="16" spans="2:7" x14ac:dyDescent="0.25">
      <c r="B16" s="12"/>
      <c r="C16" s="15"/>
      <c r="D16" s="38" t="s">
        <v>31</v>
      </c>
      <c r="E16" s="16">
        <f>SUM(E13:E15)</f>
        <v>24341.474999999999</v>
      </c>
    </row>
    <row r="17" spans="2:5" x14ac:dyDescent="0.25">
      <c r="B17" s="12"/>
      <c r="C17" s="15"/>
      <c r="D17" s="39" t="s">
        <v>33</v>
      </c>
      <c r="E17" s="23">
        <f>E16*0.1</f>
        <v>2434.1475</v>
      </c>
    </row>
    <row r="18" spans="2:5" x14ac:dyDescent="0.25">
      <c r="B18" s="12"/>
      <c r="C18" s="15"/>
      <c r="D18" s="38" t="s">
        <v>32</v>
      </c>
      <c r="E18" s="16">
        <f>E17+E16</f>
        <v>26775.622499999998</v>
      </c>
    </row>
    <row r="19" spans="2:5" x14ac:dyDescent="0.25">
      <c r="B19" s="48" t="s">
        <v>28</v>
      </c>
      <c r="C19" s="49"/>
      <c r="D19" s="47">
        <v>0.2</v>
      </c>
      <c r="E19" s="7">
        <f>D19*SUM(E6:E8)</f>
        <v>226.5</v>
      </c>
    </row>
    <row r="20" spans="2:5" x14ac:dyDescent="0.25">
      <c r="B20" s="48" t="s">
        <v>30</v>
      </c>
      <c r="C20" s="49"/>
      <c r="D20" s="47">
        <v>0.2</v>
      </c>
      <c r="E20" s="7">
        <f>D20*SUM(E10:E12)</f>
        <v>4500</v>
      </c>
    </row>
    <row r="21" spans="2:5" x14ac:dyDescent="0.25">
      <c r="D21" s="1" t="s">
        <v>10</v>
      </c>
      <c r="E21" s="14">
        <f>SUM(E18:E20)</f>
        <v>31502.122499999998</v>
      </c>
    </row>
    <row r="22" spans="2:5" x14ac:dyDescent="0.25">
      <c r="D22" s="1"/>
      <c r="E22" s="14"/>
    </row>
    <row r="23" spans="2:5" x14ac:dyDescent="0.25">
      <c r="D23" s="1"/>
      <c r="E23" s="14"/>
    </row>
    <row r="34" spans="2:12" ht="15" customHeight="1" x14ac:dyDescent="0.25">
      <c r="B34" s="19" t="s">
        <v>11</v>
      </c>
      <c r="C34" s="20"/>
      <c r="D34" s="20"/>
      <c r="E34" s="25"/>
      <c r="G34" s="2"/>
    </row>
    <row r="35" spans="2:12" x14ac:dyDescent="0.25">
      <c r="B35" s="21" t="s">
        <v>12</v>
      </c>
      <c r="C35" s="22"/>
      <c r="D35" s="22"/>
      <c r="E35" s="26">
        <f>E21</f>
        <v>31502.122499999998</v>
      </c>
      <c r="G35" s="3"/>
    </row>
    <row r="36" spans="2:12" ht="6" customHeight="1" x14ac:dyDescent="0.25">
      <c r="B36" s="18"/>
      <c r="C36" s="17"/>
      <c r="D36" s="17"/>
      <c r="E36" s="17"/>
    </row>
    <row r="37" spans="2:12" x14ac:dyDescent="0.25">
      <c r="B37" s="19" t="s">
        <v>13</v>
      </c>
      <c r="C37" s="24"/>
      <c r="D37" s="24"/>
      <c r="E37" s="25"/>
    </row>
    <row r="38" spans="2:12" x14ac:dyDescent="0.25">
      <c r="B38" s="27" t="s">
        <v>15</v>
      </c>
      <c r="C38" s="28">
        <v>900</v>
      </c>
      <c r="D38" s="29" t="str">
        <f>CONCATENATE("x ",$C$2," =")</f>
        <v>x 25 =</v>
      </c>
      <c r="E38" s="30">
        <f>C38*$C$2</f>
        <v>22500</v>
      </c>
      <c r="G38" s="55" t="s">
        <v>36</v>
      </c>
      <c r="H38" s="57"/>
      <c r="I38" s="54" t="s">
        <v>37</v>
      </c>
      <c r="J38" s="56" t="s">
        <v>38</v>
      </c>
      <c r="L38" s="54" t="s">
        <v>39</v>
      </c>
    </row>
    <row r="39" spans="2:12" x14ac:dyDescent="0.25">
      <c r="B39" s="27" t="s">
        <v>16</v>
      </c>
      <c r="C39" s="28">
        <f>E15/C2</f>
        <v>27</v>
      </c>
      <c r="D39" s="29" t="str">
        <f>CONCATENATE("x ",$C$2," =")</f>
        <v>x 25 =</v>
      </c>
      <c r="E39" s="30">
        <f>C39*$C$2</f>
        <v>675</v>
      </c>
      <c r="G39" s="55"/>
      <c r="H39" s="58"/>
      <c r="I39" s="54"/>
      <c r="J39" s="56"/>
      <c r="L39" s="54"/>
    </row>
    <row r="40" spans="2:12" x14ac:dyDescent="0.25">
      <c r="B40" s="31" t="s">
        <v>17</v>
      </c>
      <c r="C40" s="40">
        <f>5*SUM(E10:E12)/100/$C$2</f>
        <v>45</v>
      </c>
      <c r="D40" s="29" t="str">
        <f>CONCATENATE("x ",$C$2," =")</f>
        <v>x 25 =</v>
      </c>
      <c r="E40" s="32">
        <f>C40*$C$2</f>
        <v>1125</v>
      </c>
      <c r="G40" s="7">
        <f>SUM(E10:E12)+SUM(E14:E15)</f>
        <v>23208.974999999999</v>
      </c>
      <c r="H40" s="41" t="str">
        <f>IF(G40&gt;I40,"&gt;","&lt;=")</f>
        <v>&lt;=</v>
      </c>
      <c r="I40" s="7">
        <f>E41</f>
        <v>24300</v>
      </c>
      <c r="J40" s="7">
        <f>IF(G40&gt;I40,G40-I40,0)</f>
        <v>0</v>
      </c>
      <c r="L40" s="43">
        <f>G40-I40</f>
        <v>-1091.0250000000015</v>
      </c>
    </row>
    <row r="41" spans="2:12" x14ac:dyDescent="0.25">
      <c r="B41" s="33"/>
      <c r="C41" s="40">
        <f>SUM(C38:C40)</f>
        <v>972</v>
      </c>
      <c r="D41" s="34"/>
      <c r="E41" s="26">
        <f>SUM(E38:E40)</f>
        <v>24300</v>
      </c>
      <c r="F41" s="14"/>
      <c r="G41" s="42">
        <f>G40/$C$2</f>
        <v>928.35899999999992</v>
      </c>
      <c r="H41" s="41" t="str">
        <f>IF(G41&gt;I41,"&gt;","&lt;=")</f>
        <v>&lt;=</v>
      </c>
      <c r="I41" s="42">
        <f>I40/$C$2</f>
        <v>972</v>
      </c>
      <c r="J41" s="42">
        <f>IF(G41&gt;I41,G41-I41,0)</f>
        <v>0</v>
      </c>
      <c r="L41" s="43">
        <f>G41-I41</f>
        <v>-43.641000000000076</v>
      </c>
    </row>
    <row r="43" spans="2:12" x14ac:dyDescent="0.25">
      <c r="B43" s="19" t="s">
        <v>22</v>
      </c>
      <c r="C43" s="20"/>
      <c r="D43" s="20"/>
      <c r="E43" s="25"/>
    </row>
    <row r="44" spans="2:12" x14ac:dyDescent="0.25">
      <c r="B44" s="21" t="s">
        <v>34</v>
      </c>
      <c r="C44" s="22"/>
      <c r="D44" s="22"/>
      <c r="E44" s="26">
        <f>E21</f>
        <v>31502.122499999998</v>
      </c>
    </row>
    <row r="46" spans="2:12" x14ac:dyDescent="0.25">
      <c r="B46" s="1" t="s">
        <v>18</v>
      </c>
      <c r="C46" s="14">
        <f>MIN(E35,E41,E44)</f>
        <v>24300</v>
      </c>
    </row>
    <row r="63" spans="2:9" x14ac:dyDescent="0.25">
      <c r="B63" s="5" t="s">
        <v>19</v>
      </c>
    </row>
    <row r="64" spans="2:9" x14ac:dyDescent="0.25">
      <c r="B64" t="s">
        <v>20</v>
      </c>
      <c r="C64" s="14">
        <f>C46</f>
        <v>24300</v>
      </c>
      <c r="G64" s="44"/>
      <c r="H64" s="45"/>
      <c r="I64" s="45"/>
    </row>
    <row r="65" spans="2:9" x14ac:dyDescent="0.25">
      <c r="B65" t="s">
        <v>21</v>
      </c>
      <c r="C65" s="14">
        <f>E20</f>
        <v>4500</v>
      </c>
      <c r="G65" s="44"/>
      <c r="H65" s="45"/>
      <c r="I65" s="45"/>
    </row>
    <row r="66" spans="2:9" x14ac:dyDescent="0.25">
      <c r="B66" t="s">
        <v>23</v>
      </c>
      <c r="C66" s="14">
        <f>E6+E7+E8+E14+E19</f>
        <v>1392.9749999999999</v>
      </c>
      <c r="G66" s="44"/>
      <c r="H66" s="45"/>
      <c r="I66" s="45"/>
    </row>
    <row r="67" spans="2:9" x14ac:dyDescent="0.25">
      <c r="B67" t="s">
        <v>24</v>
      </c>
      <c r="C67" s="35">
        <f>E17</f>
        <v>2434.1475</v>
      </c>
      <c r="G67" s="44"/>
      <c r="H67" s="45"/>
      <c r="I67" s="45"/>
    </row>
    <row r="68" spans="2:9" x14ac:dyDescent="0.25">
      <c r="B68" s="1" t="s">
        <v>25</v>
      </c>
      <c r="C68" s="14">
        <f>SUM(C64:C67)</f>
        <v>32627.122499999998</v>
      </c>
      <c r="D68" s="3"/>
      <c r="G68" s="44"/>
      <c r="H68" s="45"/>
      <c r="I68" s="44"/>
    </row>
    <row r="69" spans="2:9" ht="10.5" customHeight="1" x14ac:dyDescent="0.25"/>
    <row r="70" spans="2:9" x14ac:dyDescent="0.25">
      <c r="B70" t="s">
        <v>35</v>
      </c>
      <c r="C70" s="3">
        <v>54545</v>
      </c>
    </row>
    <row r="72" spans="2:9" x14ac:dyDescent="0.25">
      <c r="B72" s="36" t="s">
        <v>42</v>
      </c>
      <c r="C72" s="37">
        <f>MIN(C68,C70)</f>
        <v>32627.122499999998</v>
      </c>
    </row>
    <row r="74" spans="2:9" x14ac:dyDescent="0.25">
      <c r="B74" s="1" t="s">
        <v>29</v>
      </c>
      <c r="C74" s="14">
        <f>IF(E21-C72&gt;0,E21-C72,0)</f>
        <v>0</v>
      </c>
    </row>
  </sheetData>
  <mergeCells count="13">
    <mergeCell ref="G6:G8"/>
    <mergeCell ref="F10:F12"/>
    <mergeCell ref="G10:G12"/>
    <mergeCell ref="L38:L39"/>
    <mergeCell ref="G38:G39"/>
    <mergeCell ref="I38:I39"/>
    <mergeCell ref="J38:J39"/>
    <mergeCell ref="H38:H39"/>
    <mergeCell ref="B14:C14"/>
    <mergeCell ref="B15:C15"/>
    <mergeCell ref="B19:C19"/>
    <mergeCell ref="B20:C20"/>
    <mergeCell ref="F6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Zafonte Mario</dc:creator>
  <cp:lastModifiedBy>Zafonte Mario</cp:lastModifiedBy>
  <dcterms:created xsi:type="dcterms:W3CDTF">2022-05-04T20:34:55Z</dcterms:created>
  <dcterms:modified xsi:type="dcterms:W3CDTF">2022-06-18T15:18:04Z</dcterms:modified>
</cp:coreProperties>
</file>