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53222"/>
  <mc:AlternateContent xmlns:mc="http://schemas.openxmlformats.org/markup-compatibility/2006">
    <mc:Choice Requires="x15">
      <x15ac:absPath xmlns:x15ac="http://schemas.microsoft.com/office/spreadsheetml/2010/11/ac" url="C:\SIM\SoftwareVBXP\TecniciXP\"/>
    </mc:Choice>
  </mc:AlternateContent>
  <bookViews>
    <workbookView xWindow="0" yWindow="0" windowWidth="28800" windowHeight="13020"/>
  </bookViews>
  <sheets>
    <sheet name="Solaio Soletta Collaborante" sheetId="1" r:id="rId1"/>
    <sheet name="Sheet4" sheetId="4" r:id="rId2"/>
    <sheet name="Foglio3" sheetId="3" r:id="rId3"/>
    <sheet name="Foglio2" sheetId="2" r:id="rId4"/>
  </sheets>
  <definedNames>
    <definedName name="_G1">'Solaio Soletta Collaborante'!$I$59</definedName>
    <definedName name="A1s">'Solaio Soletta Collaborante'!$E$148</definedName>
    <definedName name="Aa">'Solaio Soletta Collaborante'!$E$28</definedName>
    <definedName name="Ap">'Solaio Soletta Collaborante'!$E$51</definedName>
    <definedName name="b">'Solaio Soletta Collaborante'!$E$25</definedName>
    <definedName name="beff">'Solaio Soletta Collaborante'!$E$124</definedName>
    <definedName name="Cc">'Solaio Soletta Collaborante'!$E$128</definedName>
    <definedName name="Cs">'Solaio Soletta Collaborante'!$I$147</definedName>
    <definedName name="dp">'Solaio Soletta Collaborante'!$E$49</definedName>
    <definedName name="dr">'Solaio Soletta Collaborante'!$E$45</definedName>
    <definedName name="Ea">'Solaio Soletta Collaborante'!$E$32</definedName>
    <definedName name="Ec">'Solaio Soletta Collaborante'!$J$40</definedName>
    <definedName name="fcd">'Solaio Soletta Collaborante'!$E$41</definedName>
    <definedName name="fctd">'Solaio Soletta Collaborante'!$E$42</definedName>
    <definedName name="fsd">'Solaio Soletta Collaborante'!$J$46</definedName>
    <definedName name="fsk">'Solaio Soletta Collaborante'!$J$45</definedName>
    <definedName name="fup">'Solaio Soletta Collaborante'!$J$50</definedName>
    <definedName name="fvd">'Solaio Soletta Collaborante'!$I$34</definedName>
    <definedName name="fvk">'Solaio Soletta Collaborante'!$E$34</definedName>
    <definedName name="fyd">'Solaio Soletta Collaborante'!$I$33</definedName>
    <definedName name="fyk">'Solaio Soletta Collaborante'!$E$33</definedName>
    <definedName name="fyp">'Solaio Soletta Collaborante'!$J$49</definedName>
    <definedName name="h">'Solaio Soletta Collaborante'!$E$24</definedName>
    <definedName name="hc">'Solaio Soletta Collaborante'!$E$37</definedName>
    <definedName name="hp">'Solaio Soletta Collaborante'!$E$50</definedName>
    <definedName name="i">'Solaio Soletta Collaborante'!$E$21</definedName>
    <definedName name="Interasse">'Solaio Soletta Collaborante'!$E$21</definedName>
    <definedName name="Iy">'Solaio Soletta Collaborante'!$E$30</definedName>
    <definedName name="L">'Solaio Soletta Collaborante'!$E$20</definedName>
    <definedName name="Luce">'Solaio Soletta Collaborante'!$E$20</definedName>
    <definedName name="Myd">'Solaio Soletta Collaborante'!$D$81</definedName>
    <definedName name="OLE_LINK1" localSheetId="0">'Solaio Soletta Collaborante'!#REF!</definedName>
    <definedName name="Pa">'Solaio Soletta Collaborante'!$E$29</definedName>
    <definedName name="Pc">'Solaio Soletta Collaborante'!$J$37</definedName>
    <definedName name="pr">'Solaio Soletta Collaborante'!$E$46</definedName>
    <definedName name="q">'Solaio Soletta Collaborante'!$I$76</definedName>
    <definedName name="q0">'Solaio Soletta Collaborante'!#REF!</definedName>
    <definedName name="Rck">'Solaio Soletta Collaborante'!$E$40</definedName>
    <definedName name="tf">'Solaio Soletta Collaborante'!$E$27</definedName>
    <definedName name="Ts">'Solaio Soletta Collaborante'!$E$129</definedName>
    <definedName name="TsInf">'Solaio Soletta Collaborante'!$I$148</definedName>
    <definedName name="tw">'Solaio Soletta Collaborante'!$E$26</definedName>
    <definedName name="Vyd">'Solaio Soletta Collaborante'!$D$82</definedName>
    <definedName name="Wy">'Solaio Soletta Collaborante'!$E$31</definedName>
    <definedName name="x">'Solaio Soletta Collaborante'!$E$147</definedName>
    <definedName name="xn">'Solaio Soletta Collaborante'!$D$145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8" i="1" l="1"/>
  <c r="I59" i="1" s="1"/>
  <c r="C190" i="1"/>
  <c r="H203" i="1" s="1"/>
  <c r="H201" i="1"/>
  <c r="H202" i="1"/>
  <c r="H196" i="1"/>
  <c r="J199" i="1" s="1"/>
  <c r="E190" i="1"/>
  <c r="C179" i="1"/>
  <c r="D179" i="1" s="1"/>
  <c r="M49" i="1"/>
  <c r="P50" i="1" s="1"/>
  <c r="J40" i="1"/>
  <c r="C180" i="1"/>
  <c r="E178" i="1" s="1"/>
  <c r="E184" i="1"/>
  <c r="I184" i="1" s="1"/>
  <c r="M182" i="1"/>
  <c r="E51" i="1"/>
  <c r="E177" i="1" s="1"/>
  <c r="E162" i="1"/>
  <c r="E164" i="1" s="1"/>
  <c r="I34" i="1"/>
  <c r="I33" i="1"/>
  <c r="E129" i="1"/>
  <c r="G173" i="1" s="1"/>
  <c r="E122" i="1"/>
  <c r="H117" i="1"/>
  <c r="E121" i="1" s="1"/>
  <c r="E124" i="1" s="1"/>
  <c r="E128" i="1" s="1"/>
  <c r="I64" i="1"/>
  <c r="G190" i="1" l="1"/>
  <c r="J204" i="1"/>
  <c r="I74" i="1"/>
  <c r="I76" i="1" s="1"/>
  <c r="D82" i="1" s="1"/>
  <c r="H164" i="1" s="1"/>
  <c r="G175" i="1"/>
  <c r="F186" i="1" s="1"/>
  <c r="H186" i="1" s="1"/>
  <c r="P49" i="1"/>
  <c r="G206" i="1"/>
  <c r="M184" i="1"/>
  <c r="J184" i="1"/>
  <c r="N132" i="1"/>
  <c r="J148" i="1"/>
  <c r="B151" i="1"/>
  <c r="J147" i="1"/>
  <c r="B145" i="1"/>
  <c r="B146" i="1"/>
  <c r="H148" i="1"/>
  <c r="F148" i="1"/>
  <c r="F147" i="1"/>
  <c r="B132" i="1"/>
  <c r="H147" i="1"/>
  <c r="B148" i="1"/>
  <c r="E148" i="1"/>
  <c r="G148" i="1" s="1"/>
  <c r="D81" i="1" l="1"/>
  <c r="I151" i="1" s="1"/>
  <c r="J193" i="1"/>
  <c r="I206" i="1" s="1"/>
  <c r="G164" i="1"/>
  <c r="J164" i="1"/>
  <c r="B147" i="1"/>
  <c r="I148" i="1"/>
  <c r="E147" i="1"/>
  <c r="D145" i="1" s="1"/>
  <c r="I147" i="1"/>
  <c r="F151" i="1" l="1"/>
  <c r="H151" i="1" s="1"/>
  <c r="K151" i="1" l="1"/>
  <c r="H155" i="1"/>
</calcChain>
</file>

<file path=xl/comments1.xml><?xml version="1.0" encoding="utf-8"?>
<comments xmlns="http://schemas.openxmlformats.org/spreadsheetml/2006/main">
  <authors>
    <author>Mario Ing Zafonte</author>
  </authors>
  <commentList>
    <comment ref="H119" authorId="0" shapeId="0">
      <text>
        <r>
          <rPr>
            <b/>
            <sz val="9"/>
            <color indexed="81"/>
            <rFont val="Tahoma"/>
            <family val="2"/>
          </rPr>
          <t>Mario Ing Zafonte:</t>
        </r>
        <r>
          <rPr>
            <sz val="9"/>
            <color indexed="81"/>
            <rFont val="Tahoma"/>
            <family val="2"/>
          </rPr>
          <t xml:space="preserve">
Inserire 0
se si ha solo 1 fila di connettori
</t>
        </r>
      </text>
    </comment>
  </commentList>
</comments>
</file>

<file path=xl/sharedStrings.xml><?xml version="1.0" encoding="utf-8"?>
<sst xmlns="http://schemas.openxmlformats.org/spreadsheetml/2006/main" count="238" uniqueCount="168">
  <si>
    <t>VERIFICA DI SOLAIO IN ACCIAIO CON SOLETTA COLLABORANTE IN CLS</t>
  </si>
  <si>
    <t>CARATTERISTICHE GEOMETRICHE</t>
  </si>
  <si>
    <t xml:space="preserve">Luce solaio  </t>
  </si>
  <si>
    <t>L =</t>
  </si>
  <si>
    <t>m</t>
  </si>
  <si>
    <t xml:space="preserve">Interasse profili </t>
  </si>
  <si>
    <t xml:space="preserve">i = </t>
  </si>
  <si>
    <t>cm</t>
  </si>
  <si>
    <t>Altezza</t>
  </si>
  <si>
    <t xml:space="preserve">h = </t>
  </si>
  <si>
    <t>mm</t>
  </si>
  <si>
    <t>Base</t>
  </si>
  <si>
    <t xml:space="preserve">b = </t>
  </si>
  <si>
    <t>Spessore Anima</t>
  </si>
  <si>
    <t xml:space="preserve">tw = </t>
  </si>
  <si>
    <t>Spessore Ali</t>
  </si>
  <si>
    <t xml:space="preserve">tf = </t>
  </si>
  <si>
    <t>Area Trasversale</t>
  </si>
  <si>
    <t xml:space="preserve">Aa = </t>
  </si>
  <si>
    <r>
      <t>cm</t>
    </r>
    <r>
      <rPr>
        <vertAlign val="superscript"/>
        <sz val="11"/>
        <color theme="1"/>
        <rFont val="Calibri"/>
        <family val="2"/>
        <scheme val="minor"/>
      </rPr>
      <t>2</t>
    </r>
  </si>
  <si>
    <t>Peso Specifico</t>
  </si>
  <si>
    <t xml:space="preserve">P = </t>
  </si>
  <si>
    <t>daN/m</t>
  </si>
  <si>
    <t>Momento d'Inerzia</t>
  </si>
  <si>
    <t xml:space="preserve">Iy = </t>
  </si>
  <si>
    <r>
      <t>cm</t>
    </r>
    <r>
      <rPr>
        <vertAlign val="superscript"/>
        <sz val="11"/>
        <color theme="1"/>
        <rFont val="Calibri"/>
        <family val="2"/>
        <scheme val="minor"/>
      </rPr>
      <t>4</t>
    </r>
  </si>
  <si>
    <t>Modulo Resistente</t>
  </si>
  <si>
    <t xml:space="preserve">Wy = </t>
  </si>
  <si>
    <r>
      <t>cm</t>
    </r>
    <r>
      <rPr>
        <vertAlign val="superscript"/>
        <sz val="11"/>
        <color theme="1"/>
        <rFont val="Calibri"/>
        <family val="2"/>
        <scheme val="minor"/>
      </rPr>
      <t>3</t>
    </r>
  </si>
  <si>
    <t>Modulo Elastico</t>
  </si>
  <si>
    <t xml:space="preserve">E = </t>
  </si>
  <si>
    <r>
      <t>N/mm</t>
    </r>
    <r>
      <rPr>
        <vertAlign val="superscript"/>
        <sz val="11"/>
        <color theme="1"/>
        <rFont val="Calibri"/>
        <family val="2"/>
        <scheme val="minor"/>
      </rPr>
      <t>2</t>
    </r>
  </si>
  <si>
    <t>Resistenza Flessione</t>
  </si>
  <si>
    <t xml:space="preserve">Fy,k = </t>
  </si>
  <si>
    <t>Fy,d =</t>
  </si>
  <si>
    <t>ResistenzaTaglio</t>
  </si>
  <si>
    <t xml:space="preserve">Fv,k = </t>
  </si>
  <si>
    <t>Fv,d =</t>
  </si>
  <si>
    <t>Soletta Collaborante</t>
  </si>
  <si>
    <t>Spessore soletta</t>
  </si>
  <si>
    <t xml:space="preserve">hc = </t>
  </si>
  <si>
    <t>Classe Calcestruzzo</t>
  </si>
  <si>
    <t>Resist. Caratteristica</t>
  </si>
  <si>
    <t xml:space="preserve">Rck = </t>
  </si>
  <si>
    <t xml:space="preserve">Ec = </t>
  </si>
  <si>
    <t>Resist. Compressione</t>
  </si>
  <si>
    <t xml:space="preserve">fcd = </t>
  </si>
  <si>
    <t>Resist. a Trazione</t>
  </si>
  <si>
    <t xml:space="preserve">fctd = </t>
  </si>
  <si>
    <t>Armatura Longitudinale/Trasversale (rete)</t>
  </si>
  <si>
    <t>Classe dell'Acciaio</t>
  </si>
  <si>
    <t>B450C</t>
  </si>
  <si>
    <t>diametro</t>
  </si>
  <si>
    <t xml:space="preserve">d = </t>
  </si>
  <si>
    <t>Resist. Snervamento</t>
  </si>
  <si>
    <t xml:space="preserve">fsk = </t>
  </si>
  <si>
    <t>passo</t>
  </si>
  <si>
    <t xml:space="preserve">p = </t>
  </si>
  <si>
    <t>Resist. a trazione</t>
  </si>
  <si>
    <t xml:space="preserve">fsd = </t>
  </si>
  <si>
    <t>Connettori a Pioli</t>
  </si>
  <si>
    <t xml:space="preserve">dp = </t>
  </si>
  <si>
    <t xml:space="preserve">fyp = </t>
  </si>
  <si>
    <t>altezza</t>
  </si>
  <si>
    <t xml:space="preserve">hp = </t>
  </si>
  <si>
    <t>Resist. a Rottura</t>
  </si>
  <si>
    <t xml:space="preserve">fup = </t>
  </si>
  <si>
    <t>Area</t>
  </si>
  <si>
    <t>Ap =</t>
  </si>
  <si>
    <r>
      <t>mm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</si>
  <si>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Solai Acciaio e Soletta Collaborante </t>
    </r>
    <r>
      <rPr>
        <sz val="8"/>
        <color theme="1"/>
        <rFont val="Wide Latin"/>
        <family val="1"/>
      </rPr>
      <t>C</t>
    </r>
    <r>
      <rPr>
        <sz val="8"/>
        <color theme="1"/>
        <rFont val="Calibri"/>
        <family val="2"/>
        <scheme val="minor"/>
      </rPr>
      <t xml:space="preserve"> SIM srl - 2014</t>
    </r>
  </si>
  <si>
    <t>ANALISI DEI CARICHI</t>
  </si>
  <si>
    <t>CARICHI PERMANENTI</t>
  </si>
  <si>
    <t>Peso Proprio Profili in acciaio (travi principali)</t>
  </si>
  <si>
    <t xml:space="preserve">Gk1 = </t>
  </si>
  <si>
    <t>kN/mq</t>
  </si>
  <si>
    <t>Peso Proprio soletta collaborante</t>
  </si>
  <si>
    <t xml:space="preserve">Gk2 = </t>
  </si>
  <si>
    <t>G1 =</t>
  </si>
  <si>
    <t>CARICHI PERMANENTI NON STRUTTURALI</t>
  </si>
  <si>
    <t>pavimento</t>
  </si>
  <si>
    <t xml:space="preserve">= </t>
  </si>
  <si>
    <t>G2 =</t>
  </si>
  <si>
    <t>CARICHI VARIABILI</t>
  </si>
  <si>
    <t>. . . . . .</t>
  </si>
  <si>
    <t xml:space="preserve">Qk1 = </t>
  </si>
  <si>
    <t xml:space="preserve">Qk2 = </t>
  </si>
  <si>
    <t xml:space="preserve">Qk3 = </t>
  </si>
  <si>
    <t>COMBINAZIONE DI CARICO nella Condizione più svantaggiosa</t>
  </si>
  <si>
    <r>
      <t xml:space="preserve">Carico Totale </t>
    </r>
    <r>
      <rPr>
        <sz val="9"/>
        <color theme="1"/>
        <rFont val="Calibri"/>
        <family val="2"/>
        <scheme val="minor"/>
      </rPr>
      <t>(in assenza della soletta collaborante)</t>
    </r>
  </si>
  <si>
    <t xml:space="preserve">Q1 = </t>
  </si>
  <si>
    <r>
      <t xml:space="preserve">Carico Totale </t>
    </r>
    <r>
      <rPr>
        <sz val="9"/>
        <color theme="1"/>
        <rFont val="Calibri"/>
        <family val="2"/>
        <scheme val="minor"/>
      </rPr>
      <t>(con la soletta collaborante)</t>
    </r>
    <r>
      <rPr>
        <sz val="11"/>
        <color theme="1"/>
        <rFont val="Calibri"/>
        <family val="2"/>
        <scheme val="minor"/>
      </rPr>
      <t xml:space="preserve"> </t>
    </r>
  </si>
  <si>
    <r>
      <t>Q = Q1 +</t>
    </r>
    <r>
      <rPr>
        <sz val="11"/>
        <color theme="1"/>
        <rFont val="Symbol"/>
        <family val="1"/>
        <charset val="2"/>
      </rPr>
      <t>g</t>
    </r>
    <r>
      <rPr>
        <sz val="9"/>
        <color theme="1"/>
        <rFont val="Calibri"/>
        <family val="2"/>
        <scheme val="minor"/>
      </rPr>
      <t>g1</t>
    </r>
    <r>
      <rPr>
        <sz val="11"/>
        <color theme="1"/>
        <rFont val="Calibri"/>
        <family val="2"/>
        <scheme val="minor"/>
      </rPr>
      <t>·G</t>
    </r>
    <r>
      <rPr>
        <sz val="9"/>
        <color theme="1"/>
        <rFont val="Calibri"/>
        <family val="2"/>
        <scheme val="minor"/>
      </rPr>
      <t>k2</t>
    </r>
    <r>
      <rPr>
        <sz val="11"/>
        <color theme="1"/>
        <rFont val="Calibri"/>
        <family val="2"/>
        <scheme val="minor"/>
      </rPr>
      <t xml:space="preserve"> = </t>
    </r>
  </si>
  <si>
    <r>
      <t>Carico su 1 trave</t>
    </r>
    <r>
      <rPr>
        <sz val="9"/>
        <color theme="1"/>
        <rFont val="Calibri"/>
        <family val="2"/>
        <scheme val="minor"/>
      </rPr>
      <t xml:space="preserve">  (con la soletta collaborante)</t>
    </r>
  </si>
  <si>
    <t xml:space="preserve">q = </t>
  </si>
  <si>
    <t>kN/m</t>
  </si>
  <si>
    <t>CALCOLO SOLLECITAZIONI</t>
  </si>
  <si>
    <r>
      <t>Myd = q·L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/ 8 =</t>
    </r>
  </si>
  <si>
    <t>kNm</t>
  </si>
  <si>
    <t>Vyd = q·L / 2 =</t>
  </si>
  <si>
    <t>kN</t>
  </si>
  <si>
    <t>Larghezza Soletta Efficace</t>
  </si>
  <si>
    <t>Semi Interasse Profili</t>
  </si>
  <si>
    <t xml:space="preserve">b1 = </t>
  </si>
  <si>
    <t>Distanza tra Profilo di estremità e bordo soletta</t>
  </si>
  <si>
    <t xml:space="preserve">b2 = </t>
  </si>
  <si>
    <t>distanza tra assi connettori</t>
  </si>
  <si>
    <t xml:space="preserve">bc = </t>
  </si>
  <si>
    <t>be1 = min (Le/8, b1-bc/2) =</t>
  </si>
  <si>
    <t xml:space="preserve">be2 = min (Le/8, b2-bc/2) = </t>
  </si>
  <si>
    <t>beff = be1 + bc + be2 =</t>
  </si>
  <si>
    <t>STATO LIMITE ULTIMO DI  FLESSIONE</t>
  </si>
  <si>
    <t>Cc = fcd·beff·hc =</t>
  </si>
  <si>
    <t>resistenza a compressione della soletta di cls</t>
  </si>
  <si>
    <t>Ts = Aa·fyd =</t>
  </si>
  <si>
    <t>resistenza a trazione della trave in acciaio</t>
  </si>
  <si>
    <t>Calcolo Asse Neutro</t>
  </si>
  <si>
    <t>=235/1,05/1,35*1420</t>
  </si>
  <si>
    <t>Calcolo Momento Resistente</t>
  </si>
  <si>
    <t xml:space="preserve">Momento flettente in assenza della soletta collaborante          Myd0 = </t>
  </si>
  <si>
    <t xml:space="preserve">Momento resistente in assenza della soletta collaborante        Mrd0 = </t>
  </si>
  <si>
    <t>Incremento di resistenza R = [(Mrd-Mrd0)-(Myd-Myd0)]/Mrd0 =</t>
  </si>
  <si>
    <t>STATO LIMITE ULTIMO DI  TAGLIO</t>
  </si>
  <si>
    <t>Essendo:</t>
  </si>
  <si>
    <t>Av = A -2·b·tf =</t>
  </si>
  <si>
    <t>risulta:</t>
  </si>
  <si>
    <r>
      <t>Vrd = Av·fyk/(</t>
    </r>
    <r>
      <rPr>
        <sz val="11"/>
        <color theme="1"/>
        <rFont val="Calibri"/>
        <family val="2"/>
      </rPr>
      <t>√</t>
    </r>
    <r>
      <rPr>
        <sz val="11"/>
        <color theme="1"/>
        <rFont val="Calibri"/>
        <family val="2"/>
        <scheme val="minor"/>
      </rPr>
      <t>3·</t>
    </r>
    <r>
      <rPr>
        <sz val="11"/>
        <color theme="1"/>
        <rFont val="Symbol"/>
        <family val="1"/>
        <charset val="2"/>
      </rPr>
      <t>g</t>
    </r>
    <r>
      <rPr>
        <sz val="8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 xml:space="preserve">) = </t>
    </r>
  </si>
  <si>
    <t>STATO LIMITE ULTIMO DI RESISTENZA DELLA CONNESSIONE ACCIAIO-CLS</t>
  </si>
  <si>
    <t>Nel rispetto di quanto indicato al Par. 4.3.4.3 del D.M. 14/01/2008, per le travi, sull’intera lunghezza sono previsti connettori a taglio</t>
  </si>
  <si>
    <t>ed armatura trasversale in grado di trasmettere la forza di scorrimento tra soletta e trave di acciaio, trascurando l’effetto</t>
  </si>
  <si>
    <t>dell’aderenza tra le due parti.</t>
  </si>
  <si>
    <t>Nel caso in esame si prevede di realizzare una connessione a Taglio a Completo ripristino, con Connettori a Piolo dotati di testa</t>
  </si>
  <si>
    <t xml:space="preserve">Forza di Scorrimento - Taglio Longitudinale </t>
  </si>
  <si>
    <t>F = Ts =</t>
  </si>
  <si>
    <r>
      <t>Resistenza a Taglio singolo Piolo Prd=min(P</t>
    </r>
    <r>
      <rPr>
        <sz val="8"/>
        <color theme="1"/>
        <rFont val="Calibri"/>
        <family val="2"/>
        <scheme val="minor"/>
      </rPr>
      <t>rd,a</t>
    </r>
    <r>
      <rPr>
        <sz val="11"/>
        <color theme="1"/>
        <rFont val="Calibri"/>
        <family val="2"/>
        <scheme val="minor"/>
      </rPr>
      <t>; P</t>
    </r>
    <r>
      <rPr>
        <sz val="8"/>
        <color theme="1"/>
        <rFont val="Calibri"/>
        <family val="2"/>
        <scheme val="minor"/>
      </rPr>
      <t>rd,c</t>
    </r>
    <r>
      <rPr>
        <sz val="11"/>
        <color theme="1"/>
        <rFont val="Calibri"/>
        <family val="2"/>
        <scheme val="minor"/>
      </rPr>
      <t>)   =</t>
    </r>
  </si>
  <si>
    <r>
      <t>P</t>
    </r>
    <r>
      <rPr>
        <sz val="8"/>
        <color theme="1"/>
        <rFont val="Calibri"/>
        <family val="2"/>
        <scheme val="minor"/>
      </rPr>
      <t>rd,a</t>
    </r>
    <r>
      <rPr>
        <sz val="11"/>
        <color theme="1"/>
        <rFont val="Calibri"/>
        <family val="2"/>
        <scheme val="minor"/>
      </rPr>
      <t xml:space="preserve"> = 0,8·fu·Ap/</t>
    </r>
    <r>
      <rPr>
        <sz val="11"/>
        <color theme="1"/>
        <rFont val="Symbol"/>
        <family val="1"/>
        <charset val="2"/>
      </rPr>
      <t>g</t>
    </r>
    <r>
      <rPr>
        <sz val="9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 xml:space="preserve"> =</t>
    </r>
  </si>
  <si>
    <r>
      <t>P</t>
    </r>
    <r>
      <rPr>
        <sz val="8"/>
        <color theme="1"/>
        <rFont val="Calibri"/>
        <family val="2"/>
        <scheme val="minor"/>
      </rPr>
      <t>rd,c</t>
    </r>
    <r>
      <rPr>
        <sz val="11"/>
        <color theme="1"/>
        <rFont val="Calibri"/>
        <family val="2"/>
        <scheme val="minor"/>
      </rPr>
      <t xml:space="preserve"> = 0,29·</t>
    </r>
    <r>
      <rPr>
        <sz val="11"/>
        <color theme="1"/>
        <rFont val="Symbol"/>
        <family val="1"/>
        <charset val="2"/>
      </rPr>
      <t>a</t>
    </r>
    <r>
      <rPr>
        <sz val="11"/>
        <color theme="1"/>
        <rFont val="Calibri"/>
        <family val="2"/>
        <scheme val="minor"/>
      </rPr>
      <t>·dp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·(fck·Ec)</t>
    </r>
    <r>
      <rPr>
        <vertAlign val="superscript"/>
        <sz val="11"/>
        <color theme="1"/>
        <rFont val="Calibri"/>
        <family val="2"/>
        <scheme val="minor"/>
      </rPr>
      <t>1/2</t>
    </r>
    <r>
      <rPr>
        <sz val="11"/>
        <color theme="1"/>
        <rFont val="Calibri"/>
        <family val="2"/>
        <scheme val="minor"/>
      </rPr>
      <t xml:space="preserve">/ </t>
    </r>
    <r>
      <rPr>
        <sz val="11"/>
        <color theme="1"/>
        <rFont val="Symbol"/>
        <family val="1"/>
        <charset val="2"/>
      </rPr>
      <t>g</t>
    </r>
    <r>
      <rPr>
        <sz val="9"/>
        <color theme="1"/>
        <rFont val="Calibri"/>
        <family val="2"/>
        <scheme val="minor"/>
      </rPr>
      <t>v</t>
    </r>
    <r>
      <rPr>
        <sz val="11"/>
        <color theme="1"/>
        <rFont val="Calibri"/>
        <family val="2"/>
        <scheme val="minor"/>
      </rPr>
      <t xml:space="preserve"> =</t>
    </r>
  </si>
  <si>
    <t>hp/dp=</t>
  </si>
  <si>
    <r>
      <rPr>
        <sz val="10"/>
        <color theme="1"/>
        <rFont val="Symbol"/>
        <family val="1"/>
        <charset val="2"/>
      </rPr>
      <t>a</t>
    </r>
    <r>
      <rPr>
        <sz val="10"/>
        <color theme="1"/>
        <rFont val="Calibri"/>
        <family val="2"/>
        <scheme val="minor"/>
      </rPr>
      <t xml:space="preserve"> =</t>
    </r>
  </si>
  <si>
    <t>N. di Pioli in direzione Trasversale     N=</t>
  </si>
  <si>
    <t>N. di Pioli in direzione Longitudinale n=</t>
  </si>
  <si>
    <t>Distanza tra i pioli in dir. Longitud.    D=</t>
  </si>
  <si>
    <t>Resistenza a Scorrimento    Vpr = n·Prd/2 =</t>
  </si>
  <si>
    <t>Verifica Armatura Trasversale Soletta</t>
  </si>
  <si>
    <t>At =</t>
  </si>
  <si>
    <t>cmq/m</t>
  </si>
  <si>
    <t>Verifica scorrimento piani a-a</t>
  </si>
  <si>
    <t xml:space="preserve">Forza di scorrimento per unità di lunghezza      Vsd = Prd/D = </t>
  </si>
  <si>
    <t xml:space="preserve">Resistenza a scorrimento bielle cls. </t>
  </si>
  <si>
    <t>Area complessiva Sezioni a-a e a'-a'   Acv =</t>
  </si>
  <si>
    <r>
      <t>mm</t>
    </r>
    <r>
      <rPr>
        <vertAlign val="superscript"/>
        <sz val="9"/>
        <color theme="1"/>
        <rFont val="Calibri"/>
        <family val="2"/>
        <scheme val="minor"/>
      </rPr>
      <t>2</t>
    </r>
  </si>
  <si>
    <r>
      <t xml:space="preserve">Coefficiente                                                 </t>
    </r>
    <r>
      <rPr>
        <sz val="9"/>
        <color theme="1"/>
        <rFont val="Symbol"/>
        <family val="1"/>
        <charset val="2"/>
      </rPr>
      <t>h</t>
    </r>
    <r>
      <rPr>
        <sz val="9"/>
        <color theme="1"/>
        <rFont val="Calibri"/>
        <family val="2"/>
        <scheme val="minor"/>
      </rPr>
      <t xml:space="preserve"> =</t>
    </r>
  </si>
  <si>
    <t>Contributo acciaio lamiera grecata    Vpd =</t>
  </si>
  <si>
    <r>
      <t>Vrd2 =0,2·Acv·</t>
    </r>
    <r>
      <rPr>
        <sz val="10"/>
        <color theme="1"/>
        <rFont val="Symbol"/>
        <family val="1"/>
        <charset val="2"/>
      </rPr>
      <t>h</t>
    </r>
    <r>
      <rPr>
        <sz val="10"/>
        <color theme="1"/>
        <rFont val="Calibri"/>
        <family val="2"/>
        <scheme val="minor"/>
      </rPr>
      <t>·fck/</t>
    </r>
    <r>
      <rPr>
        <sz val="10"/>
        <color theme="1"/>
        <rFont val="Symbol"/>
        <family val="1"/>
        <charset val="2"/>
      </rPr>
      <t>g</t>
    </r>
    <r>
      <rPr>
        <sz val="10"/>
        <color theme="1"/>
        <rFont val="Calibri"/>
        <family val="2"/>
        <scheme val="minor"/>
      </rPr>
      <t>c+Vpd/√3 =</t>
    </r>
  </si>
  <si>
    <t>Resistenza a scorrimento sezione con armatura a taglio</t>
  </si>
  <si>
    <r>
      <t>Valore Car. Resistenza a Traz. Cls  f</t>
    </r>
    <r>
      <rPr>
        <sz val="8"/>
        <color theme="1"/>
        <rFont val="Calibri"/>
        <family val="2"/>
        <scheme val="minor"/>
      </rPr>
      <t>ctk,0.05</t>
    </r>
  </si>
  <si>
    <r>
      <t>N/mm</t>
    </r>
    <r>
      <rPr>
        <vertAlign val="superscript"/>
        <sz val="9"/>
        <color theme="1"/>
        <rFont val="Calibri"/>
        <family val="2"/>
        <scheme val="minor"/>
      </rPr>
      <t>2</t>
    </r>
  </si>
  <si>
    <r>
      <t xml:space="preserve">Valore di Base res. A scorrimento cls.    </t>
    </r>
    <r>
      <rPr>
        <sz val="9"/>
        <color theme="1"/>
        <rFont val="Symbol"/>
        <family val="1"/>
        <charset val="2"/>
      </rPr>
      <t>t</t>
    </r>
    <r>
      <rPr>
        <sz val="8"/>
        <color theme="1"/>
        <rFont val="Calibri"/>
        <family val="2"/>
        <scheme val="minor"/>
      </rPr>
      <t>rd</t>
    </r>
  </si>
  <si>
    <t>Area complessiva barre in Acv                 Ae</t>
  </si>
  <si>
    <t>mmq/m</t>
  </si>
  <si>
    <r>
      <t>Vrd3 =2,5·Acv·</t>
    </r>
    <r>
      <rPr>
        <sz val="10"/>
        <color theme="1"/>
        <rFont val="Symbol"/>
        <family val="1"/>
        <charset val="2"/>
      </rPr>
      <t>h</t>
    </r>
    <r>
      <rPr>
        <sz val="10"/>
        <color theme="1"/>
        <rFont val="Calibri"/>
        <family val="2"/>
        <scheme val="minor"/>
      </rPr>
      <t>·</t>
    </r>
    <r>
      <rPr>
        <sz val="10"/>
        <color theme="1"/>
        <rFont val="Symbol"/>
        <family val="1"/>
        <charset val="2"/>
      </rPr>
      <t>t</t>
    </r>
    <r>
      <rPr>
        <sz val="10"/>
        <color theme="1"/>
        <rFont val="Calibri"/>
        <family val="2"/>
        <scheme val="minor"/>
      </rPr>
      <t>rd+Ae·fsk/</t>
    </r>
    <r>
      <rPr>
        <sz val="10"/>
        <color theme="1"/>
        <rFont val="Symbol"/>
        <family val="1"/>
        <charset val="2"/>
      </rPr>
      <t>g</t>
    </r>
    <r>
      <rPr>
        <sz val="10"/>
        <color theme="1"/>
        <rFont val="Calibri"/>
        <family val="2"/>
        <scheme val="minor"/>
      </rPr>
      <t>s + Vpd =</t>
    </r>
  </si>
  <si>
    <r>
      <t>Vrd= MIN(V</t>
    </r>
    <r>
      <rPr>
        <sz val="9"/>
        <color theme="1"/>
        <rFont val="Calibri"/>
        <family val="2"/>
        <scheme val="minor"/>
      </rPr>
      <t>rd2</t>
    </r>
    <r>
      <rPr>
        <sz val="11"/>
        <color theme="1"/>
        <rFont val="Calibri"/>
        <family val="2"/>
        <scheme val="minor"/>
      </rPr>
      <t>; V</t>
    </r>
    <r>
      <rPr>
        <sz val="9"/>
        <color theme="1"/>
        <rFont val="Calibri"/>
        <family val="2"/>
        <scheme val="minor"/>
      </rPr>
      <t>rd3</t>
    </r>
    <r>
      <rPr>
        <sz val="11"/>
        <color theme="1"/>
        <rFont val="Calibri"/>
        <family val="2"/>
        <scheme val="minor"/>
      </rPr>
      <t>) =</t>
    </r>
  </si>
  <si>
    <t>C20/25</t>
  </si>
  <si>
    <t>Travi Principali (Profilo IPE 120 in acciaio S235 t&lt;40 UNI EN 10025-2)</t>
  </si>
  <si>
    <t>tavelloni</t>
  </si>
  <si>
    <t>abitazione</t>
  </si>
  <si>
    <t>intonaco+tramezzi</t>
  </si>
  <si>
    <t>kN/m2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</si>
</sst>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E+0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rgb="FF0000FF"/>
      <name val="Courier New"/>
      <family val="3"/>
    </font>
    <font>
      <sz val="8"/>
      <color rgb="FF0000FF"/>
      <name val="Courier New"/>
      <family val="3"/>
    </font>
    <font>
      <sz val="10"/>
      <color rgb="FF000000"/>
      <name val="Courier New"/>
      <family val="3"/>
    </font>
    <font>
      <sz val="10"/>
      <color theme="1"/>
      <name val="Courier New"/>
      <family val="3"/>
    </font>
    <font>
      <i/>
      <sz val="10"/>
      <color rgb="FF0000FF"/>
      <name val="Courier New"/>
      <family val="3"/>
    </font>
    <font>
      <b/>
      <sz val="10"/>
      <color rgb="FF0000FF"/>
      <name val="Courier New"/>
      <family val="3"/>
    </font>
    <font>
      <vertAlign val="superscript"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sz val="8"/>
      <color theme="1"/>
      <name val="Wide Latin"/>
      <family val="1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theme="7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color theme="1"/>
      <name val="Symbol"/>
      <family val="1"/>
      <charset val="2"/>
    </font>
    <font>
      <sz val="10"/>
      <color theme="1"/>
      <name val="Symbol"/>
      <family val="1"/>
      <charset val="2"/>
    </font>
    <font>
      <b/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6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0" fillId="0" borderId="0" xfId="0" applyAlignment="1" applyProtection="1">
      <alignment horizontal="right"/>
      <protection locked="0"/>
    </xf>
    <xf numFmtId="2" fontId="0" fillId="0" borderId="0" xfId="0" applyNumberFormat="1" applyProtection="1">
      <protection locked="0"/>
    </xf>
    <xf numFmtId="0" fontId="2" fillId="0" borderId="0" xfId="0" applyFont="1" applyProtection="1"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0" fillId="0" borderId="0" xfId="0" quotePrefix="1" applyAlignment="1" applyProtection="1">
      <alignment horizontal="right"/>
      <protection locked="0"/>
    </xf>
    <xf numFmtId="0" fontId="0" fillId="0" borderId="1" xfId="0" quotePrefix="1" applyBorder="1" applyAlignment="1" applyProtection="1">
      <alignment horizontal="right"/>
      <protection locked="0"/>
    </xf>
    <xf numFmtId="0" fontId="7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5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18" fillId="0" borderId="0" xfId="0" applyFont="1" applyAlignment="1" applyProtection="1">
      <alignment horizontal="right"/>
      <protection locked="0"/>
    </xf>
    <xf numFmtId="0" fontId="17" fillId="0" borderId="0" xfId="0" applyFont="1" applyAlignment="1" applyProtection="1">
      <alignment horizontal="center"/>
      <protection locked="0"/>
    </xf>
    <xf numFmtId="2" fontId="17" fillId="0" borderId="0" xfId="0" applyNumberFormat="1" applyFont="1" applyAlignment="1" applyProtection="1">
      <alignment horizontal="center"/>
      <protection locked="0"/>
    </xf>
    <xf numFmtId="9" fontId="0" fillId="0" borderId="0" xfId="1" applyFont="1" applyAlignment="1" applyProtection="1">
      <alignment horizontal="right"/>
      <protection locked="0"/>
    </xf>
    <xf numFmtId="0" fontId="12" fillId="0" borderId="0" xfId="0" applyFont="1" applyProtection="1">
      <protection locked="0"/>
    </xf>
    <xf numFmtId="0" fontId="28" fillId="0" borderId="0" xfId="0" applyFont="1" applyProtection="1">
      <protection locked="0"/>
    </xf>
    <xf numFmtId="0" fontId="12" fillId="0" borderId="0" xfId="0" applyFont="1" applyAlignment="1" applyProtection="1">
      <protection locked="0"/>
    </xf>
    <xf numFmtId="0" fontId="27" fillId="0" borderId="0" xfId="0" applyFont="1" applyProtection="1">
      <protection locked="0"/>
    </xf>
    <xf numFmtId="1" fontId="12" fillId="0" borderId="0" xfId="0" applyNumberFormat="1" applyFont="1" applyAlignment="1" applyProtection="1">
      <protection locked="0"/>
    </xf>
    <xf numFmtId="165" fontId="0" fillId="0" borderId="0" xfId="0" applyNumberFormat="1" applyProtection="1">
      <protection locked="0"/>
    </xf>
    <xf numFmtId="0" fontId="0" fillId="0" borderId="0" xfId="0" applyFill="1" applyProtection="1">
      <protection locked="0"/>
    </xf>
    <xf numFmtId="2" fontId="0" fillId="0" borderId="0" xfId="0" applyNumberFormat="1" applyFill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0" xfId="0" applyNumberFormat="1" applyFill="1" applyProtection="1">
      <protection hidden="1"/>
    </xf>
    <xf numFmtId="0" fontId="0" fillId="0" borderId="0" xfId="0" applyFill="1" applyProtection="1">
      <protection hidden="1"/>
    </xf>
    <xf numFmtId="0" fontId="0" fillId="0" borderId="0" xfId="0" applyAlignment="1" applyProtection="1">
      <alignment horizontal="center"/>
      <protection locked="0"/>
    </xf>
    <xf numFmtId="0" fontId="0" fillId="0" borderId="0" xfId="0" quotePrefix="1" applyAlignment="1" applyProtection="1">
      <alignment horizontal="center"/>
      <protection locked="0"/>
    </xf>
    <xf numFmtId="0" fontId="0" fillId="0" borderId="1" xfId="0" applyBorder="1" applyProtection="1">
      <protection hidden="1"/>
    </xf>
    <xf numFmtId="2" fontId="0" fillId="0" borderId="0" xfId="0" applyNumberFormat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0" fontId="18" fillId="0" borderId="0" xfId="0" applyFont="1" applyProtection="1">
      <protection hidden="1"/>
    </xf>
    <xf numFmtId="164" fontId="0" fillId="0" borderId="0" xfId="0" applyNumberFormat="1" applyFont="1" applyProtection="1">
      <protection hidden="1"/>
    </xf>
    <xf numFmtId="0" fontId="18" fillId="0" borderId="0" xfId="0" applyFont="1" applyAlignment="1" applyProtection="1">
      <alignment horizontal="right"/>
      <protection hidden="1"/>
    </xf>
    <xf numFmtId="2" fontId="18" fillId="0" borderId="0" xfId="0" applyNumberFormat="1" applyFont="1" applyAlignment="1" applyProtection="1">
      <alignment horizontal="right"/>
      <protection hidden="1"/>
    </xf>
    <xf numFmtId="2" fontId="18" fillId="0" borderId="0" xfId="0" applyNumberFormat="1" applyFont="1" applyAlignment="1" applyProtection="1">
      <alignment horizontal="left"/>
      <protection hidden="1"/>
    </xf>
    <xf numFmtId="0" fontId="0" fillId="0" borderId="0" xfId="0" applyFo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4" fillId="0" borderId="0" xfId="0" applyFont="1" applyProtection="1">
      <protection hidden="1"/>
    </xf>
    <xf numFmtId="0" fontId="21" fillId="0" borderId="0" xfId="0" applyFont="1" applyProtection="1">
      <protection hidden="1"/>
    </xf>
    <xf numFmtId="2" fontId="0" fillId="0" borderId="0" xfId="0" applyNumberFormat="1" applyAlignment="1" applyProtection="1">
      <alignment horizontal="right"/>
      <protection hidden="1"/>
    </xf>
    <xf numFmtId="0" fontId="18" fillId="0" borderId="0" xfId="0" applyFont="1" applyAlignment="1" applyProtection="1">
      <alignment horizontal="left"/>
      <protection hidden="1"/>
    </xf>
    <xf numFmtId="0" fontId="23" fillId="0" borderId="0" xfId="0" applyFont="1" applyProtection="1">
      <protection hidden="1"/>
    </xf>
    <xf numFmtId="2" fontId="0" fillId="0" borderId="0" xfId="0" applyNumberFormat="1" applyFont="1" applyProtection="1">
      <protection hidden="1"/>
    </xf>
    <xf numFmtId="1" fontId="12" fillId="0" borderId="0" xfId="0" applyNumberFormat="1" applyFont="1" applyAlignment="1" applyProtection="1">
      <protection hidden="1"/>
    </xf>
    <xf numFmtId="2" fontId="12" fillId="0" borderId="0" xfId="0" applyNumberFormat="1" applyFont="1" applyAlignment="1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17" fillId="0" borderId="2" xfId="0" applyFont="1" applyBorder="1" applyAlignment="1" applyProtection="1">
      <alignment horizontal="center"/>
      <protection locked="0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colors>
    <mruColors>
      <color rgb="FFF7F7F7"/>
      <color rgb="FFFDF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447675</xdr:colOff>
      <xdr:row>105</xdr:row>
      <xdr:rowOff>28575</xdr:rowOff>
    </xdr:from>
    <xdr:to>
      <xdr:col>10</xdr:col>
      <xdr:colOff>66675</xdr:colOff>
      <xdr:row>116</xdr:row>
      <xdr:rowOff>0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xmlns="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1" y="19326227"/>
          <a:ext cx="5308600" cy="2071214"/>
        </a:xfrm>
        <a:prstGeom prst="rect">
          <a:avLst/>
        </a:prstGeom>
      </xdr:spPr>
    </xdr:pic>
    <xdr:clientData fLocksWithSheet="0"/>
  </xdr:twoCellAnchor>
  <xdr:twoCellAnchor editAs="oneCell">
    <xdr:from>
      <xdr:col>7</xdr:col>
      <xdr:colOff>57150</xdr:colOff>
      <xdr:row>24</xdr:row>
      <xdr:rowOff>28575</xdr:rowOff>
    </xdr:from>
    <xdr:to>
      <xdr:col>9</xdr:col>
      <xdr:colOff>228600</xdr:colOff>
      <xdr:row>31</xdr:row>
      <xdr:rowOff>152400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xmlns="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1" y="4267201"/>
          <a:ext cx="1429832" cy="1587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238125</xdr:colOff>
      <xdr:row>138</xdr:row>
      <xdr:rowOff>161925</xdr:rowOff>
    </xdr:from>
    <xdr:to>
      <xdr:col>22</xdr:col>
      <xdr:colOff>466725</xdr:colOff>
      <xdr:row>150</xdr:row>
      <xdr:rowOff>161925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xmlns="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25307925"/>
          <a:ext cx="5715000" cy="2247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19050</xdr:colOff>
      <xdr:row>132</xdr:row>
      <xdr:rowOff>0</xdr:rowOff>
    </xdr:from>
    <xdr:to>
      <xdr:col>9</xdr:col>
      <xdr:colOff>571500</xdr:colOff>
      <xdr:row>144</xdr:row>
      <xdr:rowOff>0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xmlns="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4003000"/>
          <a:ext cx="5638800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152400</xdr:colOff>
      <xdr:row>190</xdr:row>
      <xdr:rowOff>142875</xdr:rowOff>
    </xdr:from>
    <xdr:to>
      <xdr:col>3</xdr:col>
      <xdr:colOff>19050</xdr:colOff>
      <xdr:row>198</xdr:row>
      <xdr:rowOff>95250</xdr:rowOff>
    </xdr:to>
    <xdr:pic>
      <xdr:nvPicPr>
        <xdr:cNvPr id="10" name="Immagine 9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4801504"/>
          <a:ext cx="1117600" cy="13807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581025</xdr:colOff>
      <xdr:row>1</xdr:row>
      <xdr:rowOff>95250</xdr:rowOff>
    </xdr:from>
    <xdr:to>
      <xdr:col>22</xdr:col>
      <xdr:colOff>180975</xdr:colOff>
      <xdr:row>16</xdr:row>
      <xdr:rowOff>142875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xmlns="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266700"/>
          <a:ext cx="5715403" cy="290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1</xdr:col>
      <xdr:colOff>0</xdr:colOff>
      <xdr:row>2</xdr:row>
      <xdr:rowOff>19050</xdr:rowOff>
    </xdr:from>
    <xdr:to>
      <xdr:col>10</xdr:col>
      <xdr:colOff>85725</xdr:colOff>
      <xdr:row>16</xdr:row>
      <xdr:rowOff>180975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xmlns="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19535" y="323850"/>
          <a:ext cx="5766165" cy="2837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W209"/>
  <sheetViews>
    <sheetView tabSelected="1" topLeftCell="A28" zoomScaleNormal="100" workbookViewId="0">
      <selection activeCell="N41" sqref="N41"/>
    </sheetView>
  </sheetViews>
  <sheetFormatPr defaultRowHeight="15" x14ac:dyDescent="0.25"/>
  <cols>
    <col min="1" max="1" width="1.5703125" style="1" customWidth="1"/>
    <col min="2" max="2" width="9.140625" style="1"/>
    <col min="3" max="3" width="9.5703125" style="1" customWidth="1"/>
    <col min="4" max="4" width="8.7109375" style="1" customWidth="1"/>
    <col min="5" max="5" width="10.7109375" style="1" customWidth="1"/>
    <col min="6" max="7" width="9.7109375" style="1" bestFit="1" customWidth="1"/>
    <col min="8" max="8" width="9.5703125" style="1" customWidth="1"/>
    <col min="9" max="9" width="9.140625" style="1"/>
    <col min="10" max="10" width="8.85546875" style="1" customWidth="1"/>
    <col min="11" max="11" width="9.140625" style="1"/>
    <col min="12" max="12" width="2.140625" style="1" customWidth="1"/>
    <col min="13" max="16384" width="9.140625" style="1"/>
  </cols>
  <sheetData>
    <row r="1" spans="3:3" ht="5.25" customHeight="1" x14ac:dyDescent="0.25"/>
    <row r="2" spans="3:3" x14ac:dyDescent="0.25">
      <c r="C2" s="2" t="s">
        <v>0</v>
      </c>
    </row>
    <row r="18" spans="2:23" ht="6" customHeight="1" x14ac:dyDescent="0.25"/>
    <row r="19" spans="2:23" x14ac:dyDescent="0.25">
      <c r="B19" s="3" t="s">
        <v>1</v>
      </c>
    </row>
    <row r="20" spans="2:23" x14ac:dyDescent="0.25">
      <c r="B20" s="1" t="s">
        <v>2</v>
      </c>
      <c r="D20" s="4" t="s">
        <v>3</v>
      </c>
      <c r="E20" s="5">
        <v>6.45</v>
      </c>
      <c r="F20" s="1" t="s">
        <v>4</v>
      </c>
    </row>
    <row r="21" spans="2:23" x14ac:dyDescent="0.25">
      <c r="B21" s="1" t="s">
        <v>5</v>
      </c>
      <c r="D21" s="4" t="s">
        <v>6</v>
      </c>
      <c r="E21" s="5">
        <v>120</v>
      </c>
      <c r="F21" s="1" t="s">
        <v>7</v>
      </c>
    </row>
    <row r="22" spans="2:23" ht="6.75" customHeight="1" x14ac:dyDescent="0.25">
      <c r="D22" s="4"/>
      <c r="E22" s="5"/>
    </row>
    <row r="23" spans="2:23" x14ac:dyDescent="0.25">
      <c r="B23" s="6" t="s">
        <v>163</v>
      </c>
      <c r="E23" s="5"/>
    </row>
    <row r="24" spans="2:23" x14ac:dyDescent="0.25">
      <c r="B24" s="1" t="s">
        <v>8</v>
      </c>
      <c r="D24" s="4" t="s">
        <v>9</v>
      </c>
      <c r="E24" s="5">
        <v>120</v>
      </c>
      <c r="F24" s="1" t="s">
        <v>10</v>
      </c>
    </row>
    <row r="25" spans="2:23" x14ac:dyDescent="0.25">
      <c r="B25" s="1" t="s">
        <v>11</v>
      </c>
      <c r="D25" s="4" t="s">
        <v>12</v>
      </c>
      <c r="E25" s="5">
        <v>64</v>
      </c>
      <c r="F25" s="1" t="s">
        <v>10</v>
      </c>
    </row>
    <row r="26" spans="2:23" x14ac:dyDescent="0.25">
      <c r="B26" s="1" t="s">
        <v>13</v>
      </c>
      <c r="D26" s="4" t="s">
        <v>14</v>
      </c>
      <c r="E26" s="5">
        <v>4.4000000000000004</v>
      </c>
      <c r="F26" s="1" t="s">
        <v>10</v>
      </c>
    </row>
    <row r="27" spans="2:23" x14ac:dyDescent="0.25">
      <c r="B27" s="1" t="s">
        <v>15</v>
      </c>
      <c r="D27" s="4" t="s">
        <v>16</v>
      </c>
      <c r="E27" s="5">
        <v>6.3</v>
      </c>
      <c r="F27" s="1" t="s">
        <v>10</v>
      </c>
      <c r="R27" s="7"/>
    </row>
    <row r="28" spans="2:23" ht="17.25" x14ac:dyDescent="0.25">
      <c r="B28" s="1" t="s">
        <v>17</v>
      </c>
      <c r="D28" s="4" t="s">
        <v>18</v>
      </c>
      <c r="E28" s="5">
        <v>13.2</v>
      </c>
      <c r="F28" s="1" t="s">
        <v>19</v>
      </c>
      <c r="W28" s="8"/>
    </row>
    <row r="29" spans="2:23" x14ac:dyDescent="0.25">
      <c r="B29" s="1" t="s">
        <v>20</v>
      </c>
      <c r="D29" s="4" t="s">
        <v>21</v>
      </c>
      <c r="E29" s="5">
        <v>10.4</v>
      </c>
      <c r="F29" s="1" t="s">
        <v>22</v>
      </c>
      <c r="R29" s="7"/>
    </row>
    <row r="30" spans="2:23" ht="17.25" x14ac:dyDescent="0.25">
      <c r="B30" s="1" t="s">
        <v>23</v>
      </c>
      <c r="D30" s="4" t="s">
        <v>24</v>
      </c>
      <c r="E30" s="5">
        <v>318</v>
      </c>
      <c r="F30" s="1" t="s">
        <v>25</v>
      </c>
      <c r="R30" s="7"/>
    </row>
    <row r="31" spans="2:23" ht="17.25" x14ac:dyDescent="0.25">
      <c r="B31" s="1" t="s">
        <v>26</v>
      </c>
      <c r="D31" s="4" t="s">
        <v>27</v>
      </c>
      <c r="E31" s="5">
        <v>53</v>
      </c>
      <c r="F31" s="1" t="s">
        <v>28</v>
      </c>
      <c r="R31" s="9"/>
    </row>
    <row r="32" spans="2:23" ht="17.25" x14ac:dyDescent="0.25">
      <c r="B32" s="1" t="s">
        <v>29</v>
      </c>
      <c r="D32" s="4" t="s">
        <v>30</v>
      </c>
      <c r="E32" s="5">
        <v>210000</v>
      </c>
      <c r="F32" s="1" t="s">
        <v>31</v>
      </c>
      <c r="R32" s="10"/>
    </row>
    <row r="33" spans="2:18" ht="17.25" x14ac:dyDescent="0.25">
      <c r="B33" s="1" t="s">
        <v>32</v>
      </c>
      <c r="D33" s="4" t="s">
        <v>33</v>
      </c>
      <c r="E33" s="5">
        <v>235</v>
      </c>
      <c r="F33" s="1" t="s">
        <v>31</v>
      </c>
      <c r="H33" s="4" t="s">
        <v>34</v>
      </c>
      <c r="I33" s="35">
        <f>fyk/1.05</f>
        <v>223.8095238095238</v>
      </c>
      <c r="J33" s="1" t="s">
        <v>31</v>
      </c>
      <c r="R33" s="10"/>
    </row>
    <row r="34" spans="2:18" ht="17.25" x14ac:dyDescent="0.25">
      <c r="B34" s="1" t="s">
        <v>35</v>
      </c>
      <c r="D34" s="4" t="s">
        <v>36</v>
      </c>
      <c r="E34" s="5">
        <v>360</v>
      </c>
      <c r="F34" s="1" t="s">
        <v>31</v>
      </c>
      <c r="H34" s="4" t="s">
        <v>37</v>
      </c>
      <c r="I34" s="35">
        <f>fvk/1.05</f>
        <v>342.85714285714283</v>
      </c>
      <c r="J34" s="1" t="s">
        <v>31</v>
      </c>
      <c r="R34" s="10"/>
    </row>
    <row r="35" spans="2:18" ht="7.5" customHeight="1" x14ac:dyDescent="0.25">
      <c r="R35" s="10"/>
    </row>
    <row r="36" spans="2:18" x14ac:dyDescent="0.25">
      <c r="B36" s="6" t="s">
        <v>38</v>
      </c>
      <c r="E36" s="5"/>
    </row>
    <row r="37" spans="2:18" x14ac:dyDescent="0.25">
      <c r="B37" s="11" t="s">
        <v>39</v>
      </c>
      <c r="D37" s="4" t="s">
        <v>40</v>
      </c>
      <c r="E37" s="5">
        <v>9</v>
      </c>
      <c r="F37" s="1" t="s">
        <v>7</v>
      </c>
      <c r="G37" s="1" t="s">
        <v>20</v>
      </c>
      <c r="I37" s="4" t="s">
        <v>21</v>
      </c>
      <c r="J37" s="5">
        <v>2.5</v>
      </c>
      <c r="K37" s="1" t="s">
        <v>167</v>
      </c>
    </row>
    <row r="38" spans="2:18" ht="6.75" customHeight="1" x14ac:dyDescent="0.25">
      <c r="B38" s="11"/>
      <c r="D38" s="4"/>
      <c r="E38" s="5"/>
    </row>
    <row r="39" spans="2:18" x14ac:dyDescent="0.25">
      <c r="B39" s="1" t="s">
        <v>41</v>
      </c>
      <c r="D39" s="5" t="s">
        <v>162</v>
      </c>
    </row>
    <row r="40" spans="2:18" ht="17.25" x14ac:dyDescent="0.25">
      <c r="B40" s="1" t="s">
        <v>42</v>
      </c>
      <c r="D40" s="4" t="s">
        <v>43</v>
      </c>
      <c r="E40" s="5">
        <v>25</v>
      </c>
      <c r="F40" s="1" t="s">
        <v>31</v>
      </c>
      <c r="G40" s="1" t="s">
        <v>29</v>
      </c>
      <c r="I40" s="4" t="s">
        <v>44</v>
      </c>
      <c r="J40" s="36">
        <f>22000*((0.83*Rck+8)/10)^0.3</f>
        <v>30200.493207846379</v>
      </c>
      <c r="K40" s="1" t="s">
        <v>31</v>
      </c>
    </row>
    <row r="41" spans="2:18" ht="17.25" x14ac:dyDescent="0.25">
      <c r="B41" s="1" t="s">
        <v>45</v>
      </c>
      <c r="D41" s="4" t="s">
        <v>46</v>
      </c>
      <c r="E41" s="5">
        <v>11.76</v>
      </c>
      <c r="F41" s="1" t="s">
        <v>31</v>
      </c>
    </row>
    <row r="42" spans="2:18" ht="17.25" x14ac:dyDescent="0.25">
      <c r="B42" s="1" t="s">
        <v>47</v>
      </c>
      <c r="D42" s="4" t="s">
        <v>48</v>
      </c>
      <c r="E42" s="1">
        <v>2.6</v>
      </c>
      <c r="F42" s="1" t="s">
        <v>31</v>
      </c>
    </row>
    <row r="43" spans="2:18" ht="4.5" customHeight="1" x14ac:dyDescent="0.25"/>
    <row r="44" spans="2:18" x14ac:dyDescent="0.25">
      <c r="B44" s="6" t="s">
        <v>49</v>
      </c>
      <c r="G44" s="1" t="s">
        <v>50</v>
      </c>
      <c r="I44" s="1" t="s">
        <v>51</v>
      </c>
    </row>
    <row r="45" spans="2:18" ht="15" customHeight="1" x14ac:dyDescent="0.25">
      <c r="B45" s="1" t="s">
        <v>52</v>
      </c>
      <c r="D45" s="4" t="s">
        <v>53</v>
      </c>
      <c r="E45" s="1">
        <v>8</v>
      </c>
      <c r="F45" s="1" t="s">
        <v>10</v>
      </c>
      <c r="G45" s="1" t="s">
        <v>54</v>
      </c>
      <c r="I45" s="4" t="s">
        <v>55</v>
      </c>
      <c r="J45" s="5">
        <v>450</v>
      </c>
      <c r="K45" s="1" t="s">
        <v>31</v>
      </c>
    </row>
    <row r="46" spans="2:18" ht="15" customHeight="1" x14ac:dyDescent="0.25">
      <c r="B46" s="1" t="s">
        <v>56</v>
      </c>
      <c r="D46" s="4" t="s">
        <v>57</v>
      </c>
      <c r="E46" s="1">
        <v>20</v>
      </c>
      <c r="F46" s="1" t="s">
        <v>7</v>
      </c>
      <c r="G46" s="1" t="s">
        <v>58</v>
      </c>
      <c r="I46" s="4" t="s">
        <v>59</v>
      </c>
      <c r="J46" s="5">
        <v>391.3</v>
      </c>
      <c r="K46" s="1" t="s">
        <v>31</v>
      </c>
    </row>
    <row r="47" spans="2:18" ht="5.25" customHeight="1" x14ac:dyDescent="0.25">
      <c r="D47" s="4"/>
    </row>
    <row r="48" spans="2:18" x14ac:dyDescent="0.25">
      <c r="B48" s="6" t="s">
        <v>60</v>
      </c>
    </row>
    <row r="49" spans="1:16" ht="14.25" customHeight="1" x14ac:dyDescent="0.25">
      <c r="B49" s="1" t="s">
        <v>52</v>
      </c>
      <c r="D49" s="4" t="s">
        <v>61</v>
      </c>
      <c r="E49" s="1">
        <v>19.600000000000001</v>
      </c>
      <c r="F49" s="1" t="s">
        <v>10</v>
      </c>
      <c r="G49" s="1" t="s">
        <v>54</v>
      </c>
      <c r="I49" s="4" t="s">
        <v>62</v>
      </c>
      <c r="J49" s="5">
        <v>350</v>
      </c>
      <c r="K49" s="1" t="s">
        <v>31</v>
      </c>
      <c r="M49" s="54" t="str">
        <f>IF(hp&lt;3*dp,"ATTENZIONE hp &lt; 3dp",IF(hp&gt;hc*10-20,"ATTENZIONE hp &gt; hc-2cm",IF(AND(16&lt;=dp,dp&lt;=25),"","ATTENZIONE 16 &lt;= dp &lt;= 25")))</f>
        <v/>
      </c>
      <c r="N49" s="41"/>
      <c r="O49" s="41"/>
      <c r="P49" s="54" t="str">
        <f>IF(M49&lt;&gt;"","D.M.14/01/2008 Par. 4.3.4.3.1.2 Resistenza dei connettori","")</f>
        <v/>
      </c>
    </row>
    <row r="50" spans="1:16" ht="15" customHeight="1" x14ac:dyDescent="0.25">
      <c r="B50" s="1" t="s">
        <v>63</v>
      </c>
      <c r="D50" s="4" t="s">
        <v>64</v>
      </c>
      <c r="E50" s="1">
        <v>60</v>
      </c>
      <c r="F50" s="1" t="s">
        <v>10</v>
      </c>
      <c r="G50" s="1" t="s">
        <v>65</v>
      </c>
      <c r="I50" s="4" t="s">
        <v>66</v>
      </c>
      <c r="J50" s="5">
        <v>450</v>
      </c>
      <c r="K50" s="1" t="s">
        <v>31</v>
      </c>
      <c r="M50" s="41"/>
      <c r="N50" s="41"/>
      <c r="O50" s="41"/>
      <c r="P50" s="54" t="str">
        <f>IF(M49&lt;&gt;"","D.M.14/01/2008 Par. 4.3.4.3.4    Dettagli costruttivi della zona di connessione a taglio","")</f>
        <v/>
      </c>
    </row>
    <row r="51" spans="1:16" ht="17.25" x14ac:dyDescent="0.25">
      <c r="B51" s="1" t="s">
        <v>67</v>
      </c>
      <c r="D51" s="4" t="s">
        <v>68</v>
      </c>
      <c r="E51" s="35">
        <f>PI()*E49^2/4</f>
        <v>301.71855845076379</v>
      </c>
      <c r="F51" s="1" t="s">
        <v>69</v>
      </c>
    </row>
    <row r="52" spans="1:16" ht="12" customHeight="1" x14ac:dyDescent="0.25">
      <c r="D52" s="4"/>
    </row>
    <row r="53" spans="1:16" x14ac:dyDescent="0.25">
      <c r="A53" s="59" t="s">
        <v>70</v>
      </c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</row>
    <row r="54" spans="1:16" x14ac:dyDescent="0.25">
      <c r="B54" s="3" t="s">
        <v>71</v>
      </c>
    </row>
    <row r="56" spans="1:16" x14ac:dyDescent="0.25">
      <c r="B56" s="1" t="s">
        <v>72</v>
      </c>
      <c r="N56" s="9"/>
    </row>
    <row r="57" spans="1:16" x14ac:dyDescent="0.25">
      <c r="B57" s="1" t="s">
        <v>73</v>
      </c>
      <c r="H57" s="4" t="s">
        <v>74</v>
      </c>
      <c r="I57" s="1">
        <v>0.09</v>
      </c>
      <c r="J57" s="1" t="s">
        <v>75</v>
      </c>
      <c r="N57" s="10"/>
    </row>
    <row r="58" spans="1:16" x14ac:dyDescent="0.25">
      <c r="B58" s="1" t="s">
        <v>76</v>
      </c>
      <c r="H58" s="12" t="s">
        <v>77</v>
      </c>
      <c r="I58" s="39">
        <f>1*1*(E37/100)*J37</f>
        <v>0.22499999999999998</v>
      </c>
      <c r="J58" s="13" t="s">
        <v>75</v>
      </c>
      <c r="N58" s="10"/>
    </row>
    <row r="59" spans="1:16" x14ac:dyDescent="0.25">
      <c r="H59" s="4" t="s">
        <v>78</v>
      </c>
      <c r="I59" s="36">
        <f>SUM(I57:I58)</f>
        <v>0.31499999999999995</v>
      </c>
      <c r="J59" s="1" t="s">
        <v>75</v>
      </c>
      <c r="N59" s="7"/>
    </row>
    <row r="60" spans="1:16" x14ac:dyDescent="0.25">
      <c r="B60" s="1" t="s">
        <v>79</v>
      </c>
      <c r="I60" s="32"/>
      <c r="N60" s="10"/>
    </row>
    <row r="61" spans="1:16" x14ac:dyDescent="0.25">
      <c r="B61" s="1" t="s">
        <v>80</v>
      </c>
      <c r="H61" s="14" t="s">
        <v>81</v>
      </c>
      <c r="I61" s="33">
        <v>0.4</v>
      </c>
      <c r="J61" s="1" t="s">
        <v>75</v>
      </c>
      <c r="N61" s="10"/>
    </row>
    <row r="62" spans="1:16" x14ac:dyDescent="0.25">
      <c r="B62" s="1" t="s">
        <v>164</v>
      </c>
      <c r="H62" s="14" t="s">
        <v>81</v>
      </c>
      <c r="I62" s="33">
        <v>0.48</v>
      </c>
      <c r="J62" s="1" t="s">
        <v>75</v>
      </c>
      <c r="N62" s="10"/>
    </row>
    <row r="63" spans="1:16" x14ac:dyDescent="0.25">
      <c r="B63" s="1" t="s">
        <v>166</v>
      </c>
      <c r="H63" s="15" t="s">
        <v>81</v>
      </c>
      <c r="I63" s="34">
        <v>0.7</v>
      </c>
      <c r="J63" s="13" t="s">
        <v>75</v>
      </c>
      <c r="N63" s="10"/>
    </row>
    <row r="64" spans="1:16" x14ac:dyDescent="0.25">
      <c r="H64" s="4" t="s">
        <v>82</v>
      </c>
      <c r="I64" s="35">
        <f>SUM(I61:I63)</f>
        <v>1.58</v>
      </c>
      <c r="J64" s="1" t="s">
        <v>75</v>
      </c>
      <c r="N64" s="10"/>
    </row>
    <row r="65" spans="2:14" x14ac:dyDescent="0.25">
      <c r="N65" s="10"/>
    </row>
    <row r="66" spans="2:14" x14ac:dyDescent="0.25">
      <c r="B66" s="1" t="s">
        <v>83</v>
      </c>
      <c r="N66" s="10"/>
    </row>
    <row r="67" spans="2:14" x14ac:dyDescent="0.25">
      <c r="B67" s="1" t="s">
        <v>165</v>
      </c>
      <c r="H67" s="14" t="s">
        <v>85</v>
      </c>
      <c r="I67" s="5">
        <v>2</v>
      </c>
      <c r="J67" s="1" t="s">
        <v>75</v>
      </c>
      <c r="N67" s="16"/>
    </row>
    <row r="68" spans="2:14" x14ac:dyDescent="0.25">
      <c r="B68" s="1" t="s">
        <v>84</v>
      </c>
      <c r="H68" s="14" t="s">
        <v>86</v>
      </c>
      <c r="I68" s="5">
        <v>0</v>
      </c>
      <c r="J68" s="1" t="s">
        <v>75</v>
      </c>
      <c r="N68" s="10"/>
    </row>
    <row r="69" spans="2:14" x14ac:dyDescent="0.25">
      <c r="B69" s="1" t="s">
        <v>84</v>
      </c>
      <c r="H69" s="14" t="s">
        <v>87</v>
      </c>
      <c r="I69" s="5"/>
      <c r="J69" s="1" t="s">
        <v>75</v>
      </c>
      <c r="N69" s="10"/>
    </row>
    <row r="70" spans="2:14" x14ac:dyDescent="0.25">
      <c r="N70" s="10"/>
    </row>
    <row r="71" spans="2:14" x14ac:dyDescent="0.25">
      <c r="N71" s="10"/>
    </row>
    <row r="72" spans="2:14" x14ac:dyDescent="0.25">
      <c r="B72" s="1" t="s">
        <v>88</v>
      </c>
      <c r="N72" s="10"/>
    </row>
    <row r="73" spans="2:14" x14ac:dyDescent="0.25">
      <c r="B73" s="1" t="s">
        <v>89</v>
      </c>
      <c r="H73" s="4" t="s">
        <v>90</v>
      </c>
      <c r="I73" s="1">
        <v>5.39</v>
      </c>
      <c r="J73" s="1" t="s">
        <v>75</v>
      </c>
      <c r="N73" s="10"/>
    </row>
    <row r="74" spans="2:14" x14ac:dyDescent="0.25">
      <c r="B74" s="1" t="s">
        <v>91</v>
      </c>
      <c r="H74" s="4" t="s">
        <v>92</v>
      </c>
      <c r="I74" s="35">
        <f>I73+1.3*I58</f>
        <v>5.6824999999999992</v>
      </c>
      <c r="J74" s="1" t="s">
        <v>75</v>
      </c>
      <c r="N74" s="10"/>
    </row>
    <row r="75" spans="2:14" x14ac:dyDescent="0.25">
      <c r="I75" s="32"/>
      <c r="N75" s="10"/>
    </row>
    <row r="76" spans="2:14" x14ac:dyDescent="0.25">
      <c r="B76" s="1" t="s">
        <v>93</v>
      </c>
      <c r="H76" s="4" t="s">
        <v>94</v>
      </c>
      <c r="I76" s="35">
        <f>I74*E21/100</f>
        <v>6.8189999999999991</v>
      </c>
      <c r="J76" s="1" t="s">
        <v>95</v>
      </c>
      <c r="N76" s="10"/>
    </row>
    <row r="77" spans="2:14" x14ac:dyDescent="0.25">
      <c r="H77" s="4"/>
      <c r="I77" s="5"/>
      <c r="N77" s="10"/>
    </row>
    <row r="78" spans="2:14" x14ac:dyDescent="0.25">
      <c r="H78" s="4"/>
      <c r="I78" s="5"/>
      <c r="N78" s="10"/>
    </row>
    <row r="79" spans="2:14" x14ac:dyDescent="0.25">
      <c r="B79" s="3" t="s">
        <v>96</v>
      </c>
      <c r="H79" s="4"/>
      <c r="I79" s="5"/>
      <c r="N79" s="10"/>
    </row>
    <row r="80" spans="2:14" x14ac:dyDescent="0.25">
      <c r="H80" s="4"/>
      <c r="I80" s="5"/>
      <c r="N80" s="10"/>
    </row>
    <row r="81" spans="2:14" ht="17.25" x14ac:dyDescent="0.25">
      <c r="B81" s="1" t="s">
        <v>97</v>
      </c>
      <c r="D81" s="35">
        <f>q*(L^2)/8</f>
        <v>35.460930937499995</v>
      </c>
      <c r="E81" s="1" t="s">
        <v>98</v>
      </c>
      <c r="H81" s="4"/>
      <c r="I81" s="5"/>
      <c r="N81" s="10"/>
    </row>
    <row r="82" spans="2:14" x14ac:dyDescent="0.25">
      <c r="B82" s="1" t="s">
        <v>99</v>
      </c>
      <c r="D82" s="35">
        <f>q*L/2</f>
        <v>21.991274999999998</v>
      </c>
      <c r="E82" s="1" t="s">
        <v>100</v>
      </c>
      <c r="H82" s="4"/>
      <c r="I82" s="5"/>
      <c r="N82" s="10"/>
    </row>
    <row r="83" spans="2:14" x14ac:dyDescent="0.25">
      <c r="H83" s="4"/>
      <c r="I83" s="5"/>
      <c r="N83" s="10"/>
    </row>
    <row r="84" spans="2:14" x14ac:dyDescent="0.25">
      <c r="H84" s="4"/>
      <c r="I84" s="5"/>
      <c r="N84" s="10"/>
    </row>
    <row r="85" spans="2:14" x14ac:dyDescent="0.25">
      <c r="H85" s="4"/>
      <c r="I85" s="5"/>
      <c r="N85" s="10"/>
    </row>
    <row r="86" spans="2:14" x14ac:dyDescent="0.25">
      <c r="H86" s="4"/>
      <c r="I86" s="5"/>
      <c r="N86" s="10"/>
    </row>
    <row r="87" spans="2:14" x14ac:dyDescent="0.25">
      <c r="H87" s="4"/>
      <c r="I87" s="5"/>
      <c r="N87" s="10"/>
    </row>
    <row r="88" spans="2:14" x14ac:dyDescent="0.25">
      <c r="H88" s="4"/>
      <c r="I88" s="5"/>
      <c r="N88" s="10"/>
    </row>
    <row r="89" spans="2:14" x14ac:dyDescent="0.25">
      <c r="H89" s="4"/>
      <c r="I89" s="5"/>
      <c r="N89" s="10"/>
    </row>
    <row r="90" spans="2:14" x14ac:dyDescent="0.25">
      <c r="H90" s="4"/>
      <c r="I90" s="5"/>
      <c r="N90" s="10"/>
    </row>
    <row r="91" spans="2:14" x14ac:dyDescent="0.25">
      <c r="H91" s="4"/>
      <c r="I91" s="5"/>
      <c r="N91" s="10"/>
    </row>
    <row r="92" spans="2:14" x14ac:dyDescent="0.25">
      <c r="H92" s="4"/>
      <c r="I92" s="5"/>
      <c r="N92" s="10"/>
    </row>
    <row r="93" spans="2:14" x14ac:dyDescent="0.25">
      <c r="H93" s="4"/>
      <c r="I93" s="5"/>
      <c r="N93" s="10"/>
    </row>
    <row r="94" spans="2:14" x14ac:dyDescent="0.25">
      <c r="H94" s="4"/>
      <c r="I94" s="5"/>
      <c r="N94" s="10"/>
    </row>
    <row r="95" spans="2:14" x14ac:dyDescent="0.25">
      <c r="H95" s="4"/>
      <c r="I95" s="5"/>
      <c r="N95" s="10"/>
    </row>
    <row r="96" spans="2:14" x14ac:dyDescent="0.25">
      <c r="H96" s="4"/>
      <c r="I96" s="5"/>
      <c r="N96" s="10"/>
    </row>
    <row r="97" spans="1:14" x14ac:dyDescent="0.25">
      <c r="H97" s="4"/>
      <c r="I97" s="5"/>
      <c r="N97" s="10"/>
    </row>
    <row r="98" spans="1:14" x14ac:dyDescent="0.25">
      <c r="H98" s="4"/>
      <c r="I98" s="5"/>
      <c r="N98" s="10"/>
    </row>
    <row r="99" spans="1:14" x14ac:dyDescent="0.25">
      <c r="H99" s="4"/>
      <c r="I99" s="5"/>
      <c r="N99" s="10"/>
    </row>
    <row r="100" spans="1:14" x14ac:dyDescent="0.25">
      <c r="H100" s="4"/>
      <c r="I100" s="5"/>
      <c r="N100" s="10"/>
    </row>
    <row r="101" spans="1:14" x14ac:dyDescent="0.25">
      <c r="H101" s="4"/>
      <c r="I101" s="5"/>
      <c r="N101" s="10"/>
    </row>
    <row r="102" spans="1:14" x14ac:dyDescent="0.25">
      <c r="H102" s="4"/>
      <c r="I102" s="5"/>
      <c r="N102" s="10"/>
    </row>
    <row r="103" spans="1:14" x14ac:dyDescent="0.25">
      <c r="A103" s="59" t="s">
        <v>70</v>
      </c>
      <c r="B103" s="59"/>
      <c r="C103" s="59"/>
      <c r="D103" s="59"/>
      <c r="E103" s="59"/>
      <c r="F103" s="59"/>
      <c r="G103" s="59"/>
      <c r="H103" s="59"/>
      <c r="I103" s="59"/>
      <c r="J103" s="59"/>
      <c r="K103" s="59"/>
      <c r="L103" s="59"/>
      <c r="N103" s="10"/>
    </row>
    <row r="104" spans="1:14" ht="15" customHeight="1" x14ac:dyDescent="0.25">
      <c r="N104" s="10"/>
    </row>
    <row r="105" spans="1:14" x14ac:dyDescent="0.25">
      <c r="B105" s="6" t="s">
        <v>101</v>
      </c>
      <c r="N105" s="10"/>
    </row>
    <row r="106" spans="1:14" x14ac:dyDescent="0.25">
      <c r="N106" s="10"/>
    </row>
    <row r="107" spans="1:14" x14ac:dyDescent="0.25">
      <c r="N107" s="10"/>
    </row>
    <row r="108" spans="1:14" x14ac:dyDescent="0.25">
      <c r="N108" s="10"/>
    </row>
    <row r="109" spans="1:14" x14ac:dyDescent="0.25">
      <c r="N109" s="10"/>
    </row>
    <row r="110" spans="1:14" x14ac:dyDescent="0.25">
      <c r="N110" s="10"/>
    </row>
    <row r="111" spans="1:14" x14ac:dyDescent="0.25">
      <c r="N111" s="10"/>
    </row>
    <row r="112" spans="1:14" x14ac:dyDescent="0.25">
      <c r="N112" s="17"/>
    </row>
    <row r="113" spans="2:14" x14ac:dyDescent="0.25">
      <c r="N113" s="10"/>
    </row>
    <row r="114" spans="2:14" x14ac:dyDescent="0.25">
      <c r="N114" s="10"/>
    </row>
    <row r="115" spans="2:14" x14ac:dyDescent="0.25">
      <c r="N115" s="10"/>
    </row>
    <row r="116" spans="2:14" x14ac:dyDescent="0.25">
      <c r="N116" s="10"/>
    </row>
    <row r="117" spans="2:14" x14ac:dyDescent="0.25">
      <c r="B117" s="1" t="s">
        <v>102</v>
      </c>
      <c r="G117" s="4" t="s">
        <v>103</v>
      </c>
      <c r="H117" s="35">
        <f>Interasse/2</f>
        <v>60</v>
      </c>
      <c r="I117" s="1" t="s">
        <v>7</v>
      </c>
      <c r="N117" s="10"/>
    </row>
    <row r="118" spans="2:14" x14ac:dyDescent="0.25">
      <c r="B118" s="1" t="s">
        <v>104</v>
      </c>
      <c r="G118" s="4" t="s">
        <v>105</v>
      </c>
      <c r="H118" s="5">
        <v>37.5</v>
      </c>
      <c r="I118" s="1" t="s">
        <v>7</v>
      </c>
      <c r="N118" s="10"/>
    </row>
    <row r="119" spans="2:14" ht="15" customHeight="1" x14ac:dyDescent="0.25">
      <c r="B119" s="1" t="s">
        <v>106</v>
      </c>
      <c r="G119" s="4" t="s">
        <v>107</v>
      </c>
      <c r="H119" s="5">
        <v>4</v>
      </c>
      <c r="I119" s="1" t="s">
        <v>7</v>
      </c>
      <c r="N119" s="10"/>
    </row>
    <row r="120" spans="2:14" ht="3.75" customHeight="1" x14ac:dyDescent="0.25">
      <c r="N120" s="10"/>
    </row>
    <row r="121" spans="2:14" x14ac:dyDescent="0.25">
      <c r="B121" s="1" t="s">
        <v>108</v>
      </c>
      <c r="E121" s="35">
        <f>MIN(Luce*100/8,H117-H119/2)</f>
        <v>58</v>
      </c>
      <c r="F121" s="1" t="s">
        <v>7</v>
      </c>
      <c r="H121" s="5"/>
      <c r="N121" s="10"/>
    </row>
    <row r="122" spans="2:14" ht="15" customHeight="1" x14ac:dyDescent="0.25">
      <c r="B122" s="1" t="s">
        <v>109</v>
      </c>
      <c r="E122" s="35">
        <f>MIN(Luce*100/8,H118/2-H119/2)</f>
        <v>16.75</v>
      </c>
      <c r="F122" s="1" t="s">
        <v>7</v>
      </c>
      <c r="N122" s="10"/>
    </row>
    <row r="123" spans="2:14" ht="3.75" customHeight="1" x14ac:dyDescent="0.25">
      <c r="E123" s="36"/>
      <c r="N123" s="10"/>
    </row>
    <row r="124" spans="2:14" x14ac:dyDescent="0.25">
      <c r="B124" s="1" t="s">
        <v>110</v>
      </c>
      <c r="E124" s="35">
        <f>E121+E122+H119</f>
        <v>78.75</v>
      </c>
      <c r="F124" s="1" t="s">
        <v>7</v>
      </c>
      <c r="N124" s="10"/>
    </row>
    <row r="125" spans="2:14" ht="9.75" customHeight="1" x14ac:dyDescent="0.25">
      <c r="N125" s="10"/>
    </row>
    <row r="126" spans="2:14" x14ac:dyDescent="0.25">
      <c r="B126" s="3" t="s">
        <v>111</v>
      </c>
      <c r="N126" s="18"/>
    </row>
    <row r="127" spans="2:14" ht="4.5" customHeight="1" x14ac:dyDescent="0.25">
      <c r="N127" s="10"/>
    </row>
    <row r="128" spans="2:14" x14ac:dyDescent="0.25">
      <c r="B128" s="1" t="s">
        <v>112</v>
      </c>
      <c r="E128" s="40">
        <f>fcd*(beff*10)*(hc*10)/1000</f>
        <v>833.49</v>
      </c>
      <c r="F128" s="1" t="s">
        <v>100</v>
      </c>
      <c r="G128" s="19" t="s">
        <v>113</v>
      </c>
      <c r="N128" s="10"/>
    </row>
    <row r="129" spans="2:17" x14ac:dyDescent="0.25">
      <c r="B129" s="1" t="s">
        <v>114</v>
      </c>
      <c r="E129" s="40">
        <f>Aa*10*10*fyd/1000</f>
        <v>295.42857142857144</v>
      </c>
      <c r="F129" s="1" t="s">
        <v>100</v>
      </c>
      <c r="G129" s="19" t="s">
        <v>115</v>
      </c>
      <c r="N129" s="10"/>
    </row>
    <row r="130" spans="2:17" ht="5.25" customHeight="1" x14ac:dyDescent="0.25">
      <c r="N130" s="10"/>
    </row>
    <row r="131" spans="2:17" x14ac:dyDescent="0.25">
      <c r="B131" s="20" t="s">
        <v>116</v>
      </c>
    </row>
    <row r="132" spans="2:17" x14ac:dyDescent="0.25">
      <c r="B132" s="41" t="str">
        <f>IF(Cc&lt;Ts,"Essendo Cc &lt; Ts, l'asse neutro taglia il profilo d'acciaio, e risulta:","Essendo Cc &gt; Ts, l'asse neutro taglia la soletta, e risulta:")</f>
        <v>Essendo Cc &gt; Ts, l'asse neutro taglia la soletta, e risulta:</v>
      </c>
      <c r="N132" s="58" t="str">
        <f>IF(Cc&lt;Ts,"Cambiare Immagine","")</f>
        <v/>
      </c>
    </row>
    <row r="133" spans="2:17" x14ac:dyDescent="0.25">
      <c r="N133" s="10"/>
    </row>
    <row r="134" spans="2:17" x14ac:dyDescent="0.25">
      <c r="N134" s="18"/>
    </row>
    <row r="135" spans="2:17" x14ac:dyDescent="0.25">
      <c r="N135" s="10"/>
    </row>
    <row r="136" spans="2:17" x14ac:dyDescent="0.25">
      <c r="N136" s="10"/>
      <c r="Q136" s="1" t="s">
        <v>117</v>
      </c>
    </row>
    <row r="137" spans="2:17" x14ac:dyDescent="0.25">
      <c r="N137" s="10"/>
    </row>
    <row r="138" spans="2:17" x14ac:dyDescent="0.25">
      <c r="N138" s="10"/>
    </row>
    <row r="139" spans="2:17" x14ac:dyDescent="0.25">
      <c r="N139" s="10"/>
    </row>
    <row r="140" spans="2:17" x14ac:dyDescent="0.25">
      <c r="N140" s="10"/>
    </row>
    <row r="141" spans="2:17" x14ac:dyDescent="0.25">
      <c r="N141" s="10"/>
    </row>
    <row r="142" spans="2:17" x14ac:dyDescent="0.25">
      <c r="N142" s="18"/>
    </row>
    <row r="143" spans="2:17" x14ac:dyDescent="0.25">
      <c r="N143" s="10"/>
    </row>
    <row r="144" spans="2:17" x14ac:dyDescent="0.25">
      <c r="N144" s="10"/>
    </row>
    <row r="145" spans="1:14" x14ac:dyDescent="0.25">
      <c r="B145" s="42" t="str">
        <f>IF(Cc&lt;Ts,"xn = x+hc = ","xn = fyd·Aa/(fcd·beff) = ")</f>
        <v xml:space="preserve">xn = fyd·Aa/(fcd·beff) = </v>
      </c>
      <c r="C145" s="41"/>
      <c r="D145" s="40">
        <f>IF(Cc&lt;Ts,x+hc,fyd*Aa/beff/fcd )</f>
        <v>3.1900288460055219</v>
      </c>
      <c r="E145" s="41" t="s">
        <v>7</v>
      </c>
      <c r="F145" s="41"/>
      <c r="G145" s="41"/>
      <c r="H145" s="41"/>
      <c r="I145" s="41"/>
      <c r="J145" s="41"/>
      <c r="N145" s="10"/>
    </row>
    <row r="146" spans="1:14" x14ac:dyDescent="0.25">
      <c r="B146" s="41" t="str">
        <f>IF(Cc&lt;Ts,"dove:","")</f>
        <v/>
      </c>
      <c r="C146" s="41"/>
      <c r="D146" s="41"/>
      <c r="E146" s="41"/>
      <c r="F146" s="41"/>
      <c r="G146" s="41"/>
      <c r="H146" s="41"/>
      <c r="I146" s="41"/>
      <c r="J146" s="41"/>
      <c r="N146" s="10"/>
    </row>
    <row r="147" spans="1:14" x14ac:dyDescent="0.25">
      <c r="B147" s="43" t="str">
        <f>IF(Cc&lt;Ts,IF(A1s&gt;=b*tf/100,"x = (A's-b·tf+tf·tw)/tw = ","x = A's / b = "),"")</f>
        <v/>
      </c>
      <c r="C147" s="41"/>
      <c r="D147" s="41"/>
      <c r="E147" s="44" t="str">
        <f>IF(Cc&lt;Ts,IF(A1s&gt;=b*tf/100,(A1s-b*tf/100+tf*tw/100)/tw/10,A1s/b/10),"")</f>
        <v/>
      </c>
      <c r="F147" s="41" t="str">
        <f>IF(Cc&lt;Ts,"cm","")</f>
        <v/>
      </c>
      <c r="G147" s="41"/>
      <c r="H147" s="45" t="str">
        <f>IF(Cc&lt;Ts,"Cs =","")</f>
        <v/>
      </c>
      <c r="I147" s="46" t="str">
        <f>IF(Cc&lt;Ts,(A1s/100/100)*(fyd*1000),"")</f>
        <v/>
      </c>
      <c r="J147" s="47" t="str">
        <f>IF(Cc&lt;Ts,"kN","")</f>
        <v/>
      </c>
      <c r="N147" s="10"/>
    </row>
    <row r="148" spans="1:14" x14ac:dyDescent="0.25">
      <c r="B148" s="43" t="str">
        <f>IF(Cc&lt;Ts,"A's = (fyd·Aa-fcd·beff·hc)/2fyd = ","")</f>
        <v/>
      </c>
      <c r="C148" s="41"/>
      <c r="D148" s="41"/>
      <c r="E148" s="44" t="str">
        <f>IF(Cc&lt;Ts, ((fyd*Aa*10*10-fcd*beff*10*hc*10)/2/fyd)/100,"")</f>
        <v/>
      </c>
      <c r="F148" s="41" t="str">
        <f>IF(Cc&lt;Ts,"cmq","")</f>
        <v/>
      </c>
      <c r="G148" s="43" t="str">
        <f>IF(A1s&gt;=b*tf/100,"","&lt; b·tf")</f>
        <v/>
      </c>
      <c r="H148" s="45" t="str">
        <f>IF(Cc&lt;Ts,"Ts =","")</f>
        <v/>
      </c>
      <c r="I148" s="46" t="str">
        <f>IF(Cc&lt;Ts,((Aa-A1s)/100/100)*(fyd*1000),"")</f>
        <v/>
      </c>
      <c r="J148" s="47" t="str">
        <f>IF(Cc&lt;Ts,"kN","")</f>
        <v/>
      </c>
      <c r="N148" s="10"/>
    </row>
    <row r="149" spans="1:14" ht="12" customHeight="1" x14ac:dyDescent="0.25">
      <c r="A149" s="23"/>
      <c r="B149" s="23"/>
      <c r="C149" s="23"/>
      <c r="D149" s="23"/>
      <c r="E149" s="23"/>
      <c r="F149" s="23"/>
      <c r="G149" s="23"/>
      <c r="H149" s="23"/>
      <c r="I149" s="24"/>
      <c r="J149" s="23"/>
      <c r="K149" s="23"/>
      <c r="L149" s="23"/>
      <c r="N149" s="10"/>
    </row>
    <row r="150" spans="1:14" x14ac:dyDescent="0.25">
      <c r="B150" s="20" t="s">
        <v>118</v>
      </c>
      <c r="N150" s="10"/>
    </row>
    <row r="151" spans="1:14" x14ac:dyDescent="0.25">
      <c r="B151" s="48" t="str">
        <f>IF(Cc&lt;Ts,"Mrd = Cc·(xn-hc/2)+Cs·x/2+Ts·(h-x)/2 = ","Mrd = fyd·Aa·z = ")</f>
        <v xml:space="preserve">Mrd = fyd·Aa·z = </v>
      </c>
      <c r="C151" s="41"/>
      <c r="D151" s="41"/>
      <c r="E151" s="41"/>
      <c r="F151" s="40">
        <f>IF(Cc&lt;Ts,Cc*(xn/100-hc/100/2)+Cs*x/100/2+TsInf*(h/10-x)/100/2,(fyd*1000)*(Aa/100/100)*(h/1000+hc/100-h/1000/2-xn/100/2))</f>
        <v>39.602157390328976</v>
      </c>
      <c r="G151" s="41" t="s">
        <v>98</v>
      </c>
      <c r="H151" s="49" t="str">
        <f>IF(F151&gt;=Myd,"&gt; Myd = ", " &lt; Myd = ")</f>
        <v xml:space="preserve">&gt; Myd = </v>
      </c>
      <c r="I151" s="40">
        <f>Myd</f>
        <v>35.460930937499995</v>
      </c>
      <c r="J151" s="41" t="s">
        <v>98</v>
      </c>
      <c r="K151" s="50" t="str">
        <f>IF(F151&gt;=Myd,"- Verifica", " - Non Verifica")</f>
        <v>- Verifica</v>
      </c>
      <c r="N151" s="10"/>
    </row>
    <row r="152" spans="1:14" x14ac:dyDescent="0.25">
      <c r="N152" s="10"/>
    </row>
    <row r="153" spans="1:14" x14ac:dyDescent="0.25">
      <c r="B153" s="21" t="s">
        <v>119</v>
      </c>
      <c r="H153" s="5">
        <v>5.61</v>
      </c>
      <c r="I153" s="1" t="s">
        <v>98</v>
      </c>
      <c r="N153" s="10"/>
    </row>
    <row r="154" spans="1:14" x14ac:dyDescent="0.25">
      <c r="B154" s="21" t="s">
        <v>120</v>
      </c>
      <c r="H154" s="5">
        <v>4.34</v>
      </c>
      <c r="I154" s="1" t="s">
        <v>98</v>
      </c>
      <c r="N154" s="10"/>
    </row>
    <row r="155" spans="1:14" x14ac:dyDescent="0.25">
      <c r="B155" s="21" t="s">
        <v>121</v>
      </c>
      <c r="H155" s="25">
        <f>((F151-H154)-(I151-H153))/H154</f>
        <v>1.2468263716195815</v>
      </c>
      <c r="N155" s="10"/>
    </row>
    <row r="156" spans="1:14" ht="3.75" customHeight="1" x14ac:dyDescent="0.25">
      <c r="N156" s="10"/>
    </row>
    <row r="157" spans="1:14" x14ac:dyDescent="0.25">
      <c r="A157" s="59" t="s">
        <v>70</v>
      </c>
      <c r="B157" s="59"/>
      <c r="C157" s="59"/>
      <c r="D157" s="59"/>
      <c r="E157" s="59"/>
      <c r="F157" s="59"/>
      <c r="G157" s="59"/>
      <c r="H157" s="59"/>
      <c r="I157" s="59"/>
      <c r="J157" s="59"/>
      <c r="K157" s="59"/>
      <c r="L157" s="59"/>
      <c r="N157" s="10"/>
    </row>
    <row r="158" spans="1:14" x14ac:dyDescent="0.25">
      <c r="N158" s="10"/>
    </row>
    <row r="159" spans="1:14" x14ac:dyDescent="0.25">
      <c r="B159" s="3" t="s">
        <v>122</v>
      </c>
    </row>
    <row r="160" spans="1:14" x14ac:dyDescent="0.25">
      <c r="B160" s="10"/>
    </row>
    <row r="161" spans="2:10" x14ac:dyDescent="0.25">
      <c r="B161" s="1" t="s">
        <v>123</v>
      </c>
    </row>
    <row r="162" spans="2:10" ht="17.25" x14ac:dyDescent="0.25">
      <c r="B162" s="1" t="s">
        <v>124</v>
      </c>
      <c r="E162" s="41">
        <f>Aa*10*10-2*b*tf</f>
        <v>513.6</v>
      </c>
      <c r="F162" s="1" t="s">
        <v>69</v>
      </c>
    </row>
    <row r="163" spans="2:10" x14ac:dyDescent="0.25">
      <c r="B163" s="1" t="s">
        <v>125</v>
      </c>
      <c r="F163" s="38"/>
    </row>
    <row r="164" spans="2:10" x14ac:dyDescent="0.25">
      <c r="B164" s="1" t="s">
        <v>126</v>
      </c>
      <c r="E164" s="40">
        <f>E162*fyk/(SQRT(3)*1.05)/1000</f>
        <v>66.365588657248651</v>
      </c>
      <c r="F164" s="41" t="s">
        <v>100</v>
      </c>
      <c r="G164" s="41" t="str">
        <f>IF(E164&lt;Vyd," &lt; Vyd = "," &gt; Vyd = ")</f>
        <v xml:space="preserve"> &gt; Vyd = </v>
      </c>
      <c r="H164" s="40">
        <f>Vyd</f>
        <v>21.991274999999998</v>
      </c>
      <c r="I164" s="41" t="s">
        <v>100</v>
      </c>
      <c r="J164" s="51" t="str">
        <f>IF(E164&lt;Vyd," - Non Verifica "," - Verifica ")</f>
        <v xml:space="preserve"> - Verifica </v>
      </c>
    </row>
    <row r="165" spans="2:10" x14ac:dyDescent="0.25">
      <c r="B165" s="16"/>
    </row>
    <row r="167" spans="2:10" x14ac:dyDescent="0.25">
      <c r="B167" s="3" t="s">
        <v>127</v>
      </c>
    </row>
    <row r="168" spans="2:10" x14ac:dyDescent="0.25">
      <c r="B168" s="26" t="s">
        <v>128</v>
      </c>
    </row>
    <row r="169" spans="2:10" x14ac:dyDescent="0.25">
      <c r="B169" s="26" t="s">
        <v>129</v>
      </c>
    </row>
    <row r="170" spans="2:10" x14ac:dyDescent="0.25">
      <c r="B170" s="26" t="s">
        <v>130</v>
      </c>
    </row>
    <row r="171" spans="2:10" x14ac:dyDescent="0.25">
      <c r="B171" s="26" t="s">
        <v>131</v>
      </c>
    </row>
    <row r="173" spans="2:10" x14ac:dyDescent="0.25">
      <c r="B173" s="11" t="s">
        <v>132</v>
      </c>
      <c r="F173" s="4" t="s">
        <v>133</v>
      </c>
      <c r="G173" s="52">
        <f>Ts</f>
        <v>295.42857142857144</v>
      </c>
      <c r="H173" s="1" t="s">
        <v>100</v>
      </c>
    </row>
    <row r="174" spans="2:10" ht="6.75" customHeight="1" x14ac:dyDescent="0.25"/>
    <row r="175" spans="2:10" x14ac:dyDescent="0.25">
      <c r="B175" s="11" t="s">
        <v>134</v>
      </c>
      <c r="G175" s="40">
        <f>MIN(E177:E178)</f>
        <v>57.306408061436962</v>
      </c>
      <c r="H175" s="1" t="s">
        <v>100</v>
      </c>
    </row>
    <row r="176" spans="2:10" ht="3.75" customHeight="1" x14ac:dyDescent="0.25">
      <c r="B176" s="11"/>
      <c r="G176" s="5"/>
    </row>
    <row r="177" spans="2:13" x14ac:dyDescent="0.25">
      <c r="B177" s="11" t="s">
        <v>135</v>
      </c>
      <c r="E177" s="40">
        <f>0.8*fup*Ap/1.25/1000</f>
        <v>86.894944833819977</v>
      </c>
      <c r="F177" s="1" t="s">
        <v>100</v>
      </c>
      <c r="G177" s="5"/>
    </row>
    <row r="178" spans="2:13" ht="17.25" x14ac:dyDescent="0.25">
      <c r="B178" s="11" t="s">
        <v>136</v>
      </c>
      <c r="E178" s="40">
        <f>0.29*C180*(dp^2)*SQRT(0.83*Rck*Ec)/1.25/1000</f>
        <v>57.306408061436962</v>
      </c>
      <c r="F178" s="1" t="s">
        <v>100</v>
      </c>
      <c r="G178" s="5"/>
    </row>
    <row r="179" spans="2:13" x14ac:dyDescent="0.25">
      <c r="B179" s="22" t="s">
        <v>137</v>
      </c>
      <c r="C179" s="47">
        <f>hp/dp</f>
        <v>3.0612244897959182</v>
      </c>
      <c r="D179" s="43" t="str">
        <f>IF(AND(3&lt;=C179,C179&lt;=4),"3&lt;=hp/dp;hp/dp&lt;=4",IF(C179&lt;3,"hp/dp &lt; 3","hp/dp&gt;4"))</f>
        <v>3&lt;=hp/dp;hp/dp&lt;=4</v>
      </c>
      <c r="E179" s="5"/>
      <c r="G179" s="5"/>
    </row>
    <row r="180" spans="2:13" x14ac:dyDescent="0.25">
      <c r="B180" s="22" t="s">
        <v>138</v>
      </c>
      <c r="C180" s="53">
        <f>IF(AND(3&lt;=hp/dp,hp/dp&lt;=4),0.2*(hp/dp+1),1)</f>
        <v>0.81224489795918375</v>
      </c>
      <c r="D180" s="41"/>
      <c r="G180" s="5"/>
    </row>
    <row r="181" spans="2:13" x14ac:dyDescent="0.25">
      <c r="B181" s="11"/>
      <c r="G181" s="5"/>
    </row>
    <row r="182" spans="2:13" x14ac:dyDescent="0.25">
      <c r="B182" s="26" t="s">
        <v>139</v>
      </c>
      <c r="E182" s="37">
        <v>1</v>
      </c>
      <c r="M182" s="54" t="str">
        <f>IF(E182&gt;1,IF(H119=0,"ATTENZIONE N. PIOLI trasversali non congruente con Distanza tra assi bc",""),"")</f>
        <v/>
      </c>
    </row>
    <row r="183" spans="2:13" x14ac:dyDescent="0.25">
      <c r="B183" s="26" t="s">
        <v>140</v>
      </c>
      <c r="E183" s="37">
        <v>34</v>
      </c>
      <c r="M183" s="41"/>
    </row>
    <row r="184" spans="2:13" x14ac:dyDescent="0.25">
      <c r="B184" s="26" t="s">
        <v>141</v>
      </c>
      <c r="E184" s="52">
        <f>L*100/(E183-1)</f>
        <v>19.545454545454547</v>
      </c>
      <c r="F184" s="1" t="s">
        <v>7</v>
      </c>
      <c r="I184" s="41" t="str">
        <f>IF(E184&lt;5*dp/10,5*dp/10,"")</f>
        <v/>
      </c>
      <c r="J184" s="41" t="str">
        <f>IF(E184&lt;5*dp/10,"cm","")</f>
        <v/>
      </c>
      <c r="M184" s="54" t="str">
        <f>IF(E184&lt;5*dp/10,"Attenzione D &lt; 5·dp =","")</f>
        <v/>
      </c>
    </row>
    <row r="186" spans="2:13" x14ac:dyDescent="0.25">
      <c r="B186" s="11" t="s">
        <v>142</v>
      </c>
      <c r="F186" s="40">
        <f>E183*G175/2</f>
        <v>974.20893704442835</v>
      </c>
      <c r="G186" s="41" t="s">
        <v>100</v>
      </c>
      <c r="H186" s="51" t="str">
        <f>IF(F186&lt;G173,"NON VERIFICA - aumentare n. pioli","&gt; F  - Verifica")</f>
        <v>&gt; F  - Verifica</v>
      </c>
    </row>
    <row r="188" spans="2:13" x14ac:dyDescent="0.25">
      <c r="B188" s="6" t="s">
        <v>143</v>
      </c>
    </row>
    <row r="189" spans="2:13" ht="3.75" customHeight="1" x14ac:dyDescent="0.25">
      <c r="B189" s="6"/>
    </row>
    <row r="190" spans="2:13" x14ac:dyDescent="0.25">
      <c r="B190" s="4" t="s">
        <v>144</v>
      </c>
      <c r="C190" s="40">
        <f>(PI()*(dr/10)^2/4)*100/pr</f>
        <v>2.5132741228718349</v>
      </c>
      <c r="D190" s="41" t="s">
        <v>145</v>
      </c>
      <c r="E190" s="49" t="str">
        <f>CONCATENATE("1Ø",dr," / ",pr,"cm")</f>
        <v>1Ø8 / 20cm</v>
      </c>
      <c r="F190" s="41"/>
      <c r="G190" s="41" t="str">
        <f>IF(C190&gt;0.002*hc*100,"&gt; 0,002·Ac","&lt; 0,002·Ac - Aumentare Armatura soletta")</f>
        <v>&gt; 0,002·Ac</v>
      </c>
    </row>
    <row r="192" spans="2:13" x14ac:dyDescent="0.25">
      <c r="E192" s="27" t="s">
        <v>146</v>
      </c>
    </row>
    <row r="193" spans="5:13" x14ac:dyDescent="0.25">
      <c r="E193" s="21" t="s">
        <v>147</v>
      </c>
      <c r="F193" s="26"/>
      <c r="G193" s="26"/>
      <c r="H193" s="28"/>
      <c r="I193" s="28"/>
      <c r="J193" s="55">
        <f>G175/(E184/100)</f>
        <v>293.19557612828214</v>
      </c>
      <c r="K193" s="1" t="s">
        <v>95</v>
      </c>
    </row>
    <row r="194" spans="5:13" ht="6.75" customHeight="1" x14ac:dyDescent="0.25"/>
    <row r="195" spans="5:13" x14ac:dyDescent="0.25">
      <c r="E195" s="29" t="s">
        <v>148</v>
      </c>
      <c r="G195" s="21"/>
      <c r="H195" s="28"/>
      <c r="I195" s="28"/>
    </row>
    <row r="196" spans="5:13" x14ac:dyDescent="0.25">
      <c r="E196" s="26" t="s">
        <v>149</v>
      </c>
      <c r="G196" s="21"/>
      <c r="H196" s="56">
        <f>2*hc*10*1000</f>
        <v>180000</v>
      </c>
      <c r="I196" s="26" t="s">
        <v>150</v>
      </c>
      <c r="M196" s="31"/>
    </row>
    <row r="197" spans="5:13" x14ac:dyDescent="0.25">
      <c r="E197" s="26" t="s">
        <v>151</v>
      </c>
      <c r="G197" s="21"/>
      <c r="H197" s="30">
        <v>1</v>
      </c>
      <c r="I197" s="28"/>
    </row>
    <row r="198" spans="5:13" x14ac:dyDescent="0.25">
      <c r="E198" s="26" t="s">
        <v>152</v>
      </c>
      <c r="G198" s="21"/>
      <c r="H198" s="30">
        <v>0</v>
      </c>
      <c r="I198" s="28" t="s">
        <v>95</v>
      </c>
    </row>
    <row r="199" spans="5:13" x14ac:dyDescent="0.25">
      <c r="I199" s="22" t="s">
        <v>153</v>
      </c>
      <c r="J199" s="52">
        <f>(0.2*H196*H197*0.83*Rck/1.5+H198)/1000</f>
        <v>498</v>
      </c>
      <c r="K199" s="1" t="s">
        <v>95</v>
      </c>
    </row>
    <row r="200" spans="5:13" x14ac:dyDescent="0.25">
      <c r="E200" s="29" t="s">
        <v>154</v>
      </c>
    </row>
    <row r="201" spans="5:13" x14ac:dyDescent="0.25">
      <c r="E201" s="26" t="s">
        <v>155</v>
      </c>
      <c r="G201" s="21"/>
      <c r="H201" s="57">
        <f>0.7*0.3*(0.83*Rck)^(2/3)</f>
        <v>1.5857377390092668</v>
      </c>
      <c r="I201" s="26" t="s">
        <v>156</v>
      </c>
    </row>
    <row r="202" spans="5:13" x14ac:dyDescent="0.25">
      <c r="E202" s="26" t="s">
        <v>157</v>
      </c>
      <c r="G202" s="21"/>
      <c r="H202" s="57">
        <f>0.25*H201/1.5</f>
        <v>0.26428962316821114</v>
      </c>
      <c r="I202" s="26" t="s">
        <v>156</v>
      </c>
    </row>
    <row r="203" spans="5:13" x14ac:dyDescent="0.25">
      <c r="E203" s="26" t="s">
        <v>158</v>
      </c>
      <c r="G203" s="21"/>
      <c r="H203" s="57">
        <f>2*C190*10*10</f>
        <v>502.65482457436696</v>
      </c>
      <c r="I203" s="26" t="s">
        <v>159</v>
      </c>
    </row>
    <row r="204" spans="5:13" x14ac:dyDescent="0.25">
      <c r="E204" s="21"/>
      <c r="I204" s="22" t="s">
        <v>160</v>
      </c>
      <c r="J204" s="52">
        <f>(2.5*H196*H197*H202+H203*fsk/1.15)/1000+H198</f>
        <v>315.62134873740382</v>
      </c>
      <c r="K204" s="1" t="s">
        <v>95</v>
      </c>
    </row>
    <row r="206" spans="5:13" x14ac:dyDescent="0.25">
      <c r="E206" s="1" t="s">
        <v>161</v>
      </c>
      <c r="G206" s="40">
        <f>MIN(J199,J204)</f>
        <v>315.62134873740382</v>
      </c>
      <c r="H206" s="41" t="s">
        <v>95</v>
      </c>
      <c r="I206" s="51" t="str">
        <f>IF(G206&lt;J193," - Non Verifica","&gt; Vsd  - Verifica")</f>
        <v>&gt; Vsd  - Verifica</v>
      </c>
    </row>
    <row r="209" spans="1:12" x14ac:dyDescent="0.25">
      <c r="A209" s="59" t="s">
        <v>70</v>
      </c>
      <c r="B209" s="59"/>
      <c r="C209" s="59"/>
      <c r="D209" s="59"/>
      <c r="E209" s="59"/>
      <c r="F209" s="59"/>
      <c r="G209" s="59"/>
      <c r="H209" s="59"/>
      <c r="I209" s="59"/>
      <c r="J209" s="59"/>
      <c r="K209" s="59"/>
      <c r="L209" s="59"/>
    </row>
  </sheetData>
  <sheetProtection algorithmName="SHA-512" hashValue="s4aZp/M5V0QoLwmwCNAKBysbBd7k4b6TcJ0IWGtNKtdLJFIXdIG0hCeWJREREvIa7PZEpNTCCEM15eaaPZEwbA==" saltValue="9duBh1brJ2biM+qiNF/j0w==" spinCount="100000" sheet="1" objects="1" scenarios="1"/>
  <mergeCells count="4">
    <mergeCell ref="A209:L209"/>
    <mergeCell ref="A53:L53"/>
    <mergeCell ref="A103:L103"/>
    <mergeCell ref="A157:L157"/>
  </mergeCells>
  <pageMargins left="0" right="0" top="0.74803149606299213" bottom="0.74803149606299213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44</vt:i4>
      </vt:variant>
    </vt:vector>
  </HeadingPairs>
  <TitlesOfParts>
    <vt:vector size="48" baseType="lpstr">
      <vt:lpstr>Solaio Soletta Collaborante</vt:lpstr>
      <vt:lpstr>Sheet4</vt:lpstr>
      <vt:lpstr>Foglio3</vt:lpstr>
      <vt:lpstr>Foglio2</vt:lpstr>
      <vt:lpstr>_G1</vt:lpstr>
      <vt:lpstr>A1s</vt:lpstr>
      <vt:lpstr>Aa</vt:lpstr>
      <vt:lpstr>Ap</vt:lpstr>
      <vt:lpstr>b</vt:lpstr>
      <vt:lpstr>beff</vt:lpstr>
      <vt:lpstr>Cc</vt:lpstr>
      <vt:lpstr>Cs</vt:lpstr>
      <vt:lpstr>dp</vt:lpstr>
      <vt:lpstr>dr</vt:lpstr>
      <vt:lpstr>Ea</vt:lpstr>
      <vt:lpstr>Ec</vt:lpstr>
      <vt:lpstr>fcd</vt:lpstr>
      <vt:lpstr>fctd</vt:lpstr>
      <vt:lpstr>fsd</vt:lpstr>
      <vt:lpstr>fsk</vt:lpstr>
      <vt:lpstr>fup</vt:lpstr>
      <vt:lpstr>fvd</vt:lpstr>
      <vt:lpstr>fvk</vt:lpstr>
      <vt:lpstr>fyd</vt:lpstr>
      <vt:lpstr>fyk</vt:lpstr>
      <vt:lpstr>fyp</vt:lpstr>
      <vt:lpstr>h</vt:lpstr>
      <vt:lpstr>hc</vt:lpstr>
      <vt:lpstr>hp</vt:lpstr>
      <vt:lpstr>i</vt:lpstr>
      <vt:lpstr>Interasse</vt:lpstr>
      <vt:lpstr>Iy</vt:lpstr>
      <vt:lpstr>L</vt:lpstr>
      <vt:lpstr>Luce</vt:lpstr>
      <vt:lpstr>Myd</vt:lpstr>
      <vt:lpstr>Pa</vt:lpstr>
      <vt:lpstr>Pc</vt:lpstr>
      <vt:lpstr>pr</vt:lpstr>
      <vt:lpstr>q</vt:lpstr>
      <vt:lpstr>Rck</vt:lpstr>
      <vt:lpstr>tf</vt:lpstr>
      <vt:lpstr>Ts</vt:lpstr>
      <vt:lpstr>TsInf</vt:lpstr>
      <vt:lpstr>tw</vt:lpstr>
      <vt:lpstr>Vyd</vt:lpstr>
      <vt:lpstr>Wy</vt:lpstr>
      <vt:lpstr>x</vt:lpstr>
      <vt:lpstr>xn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Ing Zafonte</dc:creator>
  <cp:keywords/>
  <dc:description/>
  <cp:lastModifiedBy>Mario Ing Zafonte</cp:lastModifiedBy>
  <cp:revision/>
  <cp:lastPrinted>2016-09-13T17:48:35Z</cp:lastPrinted>
  <dcterms:created xsi:type="dcterms:W3CDTF">2014-01-30T19:14:40Z</dcterms:created>
  <dcterms:modified xsi:type="dcterms:W3CDTF">2016-09-14T15:34:08Z</dcterms:modified>
</cp:coreProperties>
</file>